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assport\_AVIATION\__FLIGHT OPERATIONS\_LONG ISLAND AVIATORS\Weight and Balance\"/>
    </mc:Choice>
  </mc:AlternateContent>
  <xr:revisionPtr revIDLastSave="0" documentId="8_{7093B807-000C-40C1-BF9A-94EB9793D7DC}" xr6:coauthVersionLast="40" xr6:coauthVersionMax="40" xr10:uidLastSave="{00000000-0000-0000-0000-000000000000}"/>
  <bookViews>
    <workbookView xWindow="-120" yWindow="-120" windowWidth="29040" windowHeight="15990" xr2:uid="{00000000-000D-0000-FFFF-FFFF00000000}"/>
  </bookViews>
  <sheets>
    <sheet name="N757AD" sheetId="6" r:id="rId1"/>
    <sheet name="N798LA" sheetId="11" r:id="rId2"/>
    <sheet name="N65199" sheetId="12" r:id="rId3"/>
    <sheet name="ENVELOPE" sheetId="2" state="hidden" r:id="rId4"/>
    <sheet name="CG Graph (Large)" sheetId="9" state="hidden" r:id="rId5"/>
    <sheet name="ATIS WORKSHEET" sheetId="4" state="hidden" r:id="rId6"/>
    <sheet name="W&amp;B Information" sheetId="10" state="hidden" r:id="rId7"/>
  </sheets>
  <calcPr calcId="181029"/>
</workbook>
</file>

<file path=xl/calcChain.xml><?xml version="1.0" encoding="utf-8"?>
<calcChain xmlns="http://schemas.openxmlformats.org/spreadsheetml/2006/main">
  <c r="F41" i="2" l="1"/>
  <c r="F40" i="2"/>
  <c r="F39" i="2"/>
  <c r="F38" i="2"/>
  <c r="F37" i="2"/>
  <c r="F36" i="2"/>
  <c r="F35" i="2"/>
  <c r="F30" i="2"/>
  <c r="F29" i="2"/>
  <c r="F28" i="2"/>
  <c r="F27" i="2"/>
  <c r="F26" i="2"/>
  <c r="F25" i="2"/>
  <c r="F24" i="2"/>
  <c r="D6" i="12" l="1"/>
  <c r="C6" i="12"/>
  <c r="C15" i="12"/>
  <c r="E15" i="12" s="1"/>
  <c r="E13" i="12"/>
  <c r="C11" i="12"/>
  <c r="E11" i="12" s="1"/>
  <c r="C9" i="12"/>
  <c r="E9" i="12" s="1"/>
  <c r="C8" i="12"/>
  <c r="E8" i="12" s="1"/>
  <c r="I7" i="12"/>
  <c r="H7" i="12"/>
  <c r="H6" i="12"/>
  <c r="H5" i="12"/>
  <c r="I4" i="12"/>
  <c r="C7" i="12" s="1"/>
  <c r="E7" i="12" s="1"/>
  <c r="A4" i="12"/>
  <c r="D3" i="12"/>
  <c r="G36" i="2" l="1"/>
  <c r="G37" i="2" s="1"/>
  <c r="G38" i="2" s="1"/>
  <c r="G39" i="2" s="1"/>
  <c r="E6" i="12"/>
  <c r="I35" i="2" s="1"/>
  <c r="I36" i="2" s="1"/>
  <c r="I37" i="2" s="1"/>
  <c r="E10" i="12"/>
  <c r="C10" i="12"/>
  <c r="D3" i="11"/>
  <c r="D3" i="6"/>
  <c r="I38" i="2" l="1"/>
  <c r="H37" i="2"/>
  <c r="H36" i="2"/>
  <c r="D10" i="12"/>
  <c r="C12" i="12"/>
  <c r="C6" i="11"/>
  <c r="C6" i="6"/>
  <c r="H38" i="2" l="1"/>
  <c r="I39" i="2"/>
  <c r="H39" i="2" s="1"/>
  <c r="C14" i="12"/>
  <c r="D6" i="11"/>
  <c r="C15" i="11"/>
  <c r="E15" i="11" s="1"/>
  <c r="E13" i="11"/>
  <c r="C11" i="11"/>
  <c r="E11" i="11" s="1"/>
  <c r="C9" i="11"/>
  <c r="E9" i="11" s="1"/>
  <c r="C8" i="11"/>
  <c r="E8" i="11" s="1"/>
  <c r="I7" i="11"/>
  <c r="H7" i="11"/>
  <c r="H6" i="11"/>
  <c r="H5" i="11"/>
  <c r="I4" i="11"/>
  <c r="C7" i="11" s="1"/>
  <c r="G25" i="2" s="1"/>
  <c r="A4" i="11"/>
  <c r="G40" i="2" l="1"/>
  <c r="E12" i="12"/>
  <c r="B19" i="12"/>
  <c r="I9" i="12"/>
  <c r="B18" i="12"/>
  <c r="C16" i="12"/>
  <c r="G26" i="2"/>
  <c r="G27" i="2" s="1"/>
  <c r="G28" i="2" s="1"/>
  <c r="E7" i="11"/>
  <c r="E6" i="11"/>
  <c r="I24" i="2" s="1"/>
  <c r="C10" i="11"/>
  <c r="I7" i="6"/>
  <c r="H7" i="6"/>
  <c r="H6" i="6"/>
  <c r="H5" i="6"/>
  <c r="D12" i="12" l="1"/>
  <c r="E14" i="12"/>
  <c r="D17" i="12"/>
  <c r="G41" i="2"/>
  <c r="C18" i="12"/>
  <c r="A18" i="12"/>
  <c r="I25" i="2"/>
  <c r="I26" i="2" s="1"/>
  <c r="E10" i="11"/>
  <c r="D10" i="11" s="1"/>
  <c r="C12" i="11"/>
  <c r="A4" i="6"/>
  <c r="I40" i="2" l="1"/>
  <c r="E16" i="12"/>
  <c r="D14" i="12"/>
  <c r="H40" i="2" s="1"/>
  <c r="H25" i="2"/>
  <c r="I27" i="2"/>
  <c r="H26" i="2"/>
  <c r="C14" i="11"/>
  <c r="D6" i="6"/>
  <c r="F19" i="2"/>
  <c r="F18" i="2"/>
  <c r="F17" i="2"/>
  <c r="F16" i="2"/>
  <c r="F15" i="2"/>
  <c r="F14" i="2"/>
  <c r="F13" i="2"/>
  <c r="I41" i="2" l="1"/>
  <c r="D16" i="12"/>
  <c r="H41" i="2" s="1"/>
  <c r="G29" i="2"/>
  <c r="E12" i="11"/>
  <c r="I28" i="2"/>
  <c r="H28" i="2" s="1"/>
  <c r="H27" i="2"/>
  <c r="B19" i="11"/>
  <c r="C16" i="11"/>
  <c r="G30" i="2" s="1"/>
  <c r="I9" i="11"/>
  <c r="B18" i="11"/>
  <c r="C11" i="6"/>
  <c r="C9" i="6"/>
  <c r="E9" i="6" s="1"/>
  <c r="C8" i="6"/>
  <c r="I4" i="6"/>
  <c r="D17" i="11" l="1"/>
  <c r="D12" i="11"/>
  <c r="E14" i="11"/>
  <c r="C18" i="11"/>
  <c r="A18" i="11"/>
  <c r="E8" i="6"/>
  <c r="C7" i="6"/>
  <c r="E11" i="6"/>
  <c r="C15" i="6"/>
  <c r="E15" i="6" s="1"/>
  <c r="E13" i="6"/>
  <c r="E6" i="6"/>
  <c r="I13" i="2" s="1"/>
  <c r="I29" i="2" l="1"/>
  <c r="E16" i="11"/>
  <c r="D14" i="11"/>
  <c r="H29" i="2" s="1"/>
  <c r="C10" i="6"/>
  <c r="G14" i="2"/>
  <c r="E7" i="6"/>
  <c r="I14" i="2" s="1"/>
  <c r="I30" i="2" l="1"/>
  <c r="D16" i="11"/>
  <c r="H30" i="2" s="1"/>
  <c r="I15" i="2"/>
  <c r="G15" i="2"/>
  <c r="H14" i="2"/>
  <c r="E10" i="6"/>
  <c r="C12" i="6"/>
  <c r="G16" i="2" l="1"/>
  <c r="D10" i="6"/>
  <c r="C14" i="6"/>
  <c r="E12" i="6" s="1"/>
  <c r="D12" i="6" s="1"/>
  <c r="E14" i="6" l="1"/>
  <c r="I18" i="2" s="1"/>
  <c r="G17" i="2"/>
  <c r="G18" i="2"/>
  <c r="B19" i="6"/>
  <c r="I16" i="2"/>
  <c r="H15" i="2"/>
  <c r="I9" i="6"/>
  <c r="C16" i="6"/>
  <c r="D17" i="6" s="1"/>
  <c r="B18" i="6"/>
  <c r="E16" i="6" l="1"/>
  <c r="I19" i="2" s="1"/>
  <c r="D14" i="6"/>
  <c r="H18" i="2" s="1"/>
  <c r="H16" i="2"/>
  <c r="C18" i="6"/>
  <c r="A18" i="6"/>
  <c r="G19" i="2"/>
  <c r="I17" i="2"/>
  <c r="D16" i="6" l="1"/>
  <c r="H19" i="2" s="1"/>
  <c r="H17" i="2"/>
</calcChain>
</file>

<file path=xl/sharedStrings.xml><?xml version="1.0" encoding="utf-8"?>
<sst xmlns="http://schemas.openxmlformats.org/spreadsheetml/2006/main" count="321" uniqueCount="97">
  <si>
    <t>WEIGHT AND BALANCE</t>
  </si>
  <si>
    <t>ITEM</t>
  </si>
  <si>
    <t>QUANTITY</t>
  </si>
  <si>
    <t>WEIGHT</t>
  </si>
  <si>
    <t>ARM</t>
  </si>
  <si>
    <t>MOM/1000</t>
  </si>
  <si>
    <t>Basic Empty Weight</t>
  </si>
  <si>
    <t>Pilot + Front Seat Occupant</t>
  </si>
  <si>
    <t>Zero Fuel Weight (ZFW)</t>
  </si>
  <si>
    <t>Ramp Conditions</t>
  </si>
  <si>
    <t>Less Fuel to Destination</t>
  </si>
  <si>
    <t>Landing Condition</t>
  </si>
  <si>
    <t>PRE-FLIGHT ACTION</t>
  </si>
  <si>
    <t>Take Off</t>
  </si>
  <si>
    <t>Landing</t>
  </si>
  <si>
    <t>ATIS</t>
  </si>
  <si>
    <t>Time</t>
  </si>
  <si>
    <t>Wind</t>
  </si>
  <si>
    <t>Sky</t>
  </si>
  <si>
    <t>Temperature / Dew Point</t>
  </si>
  <si>
    <t>Altimeter</t>
  </si>
  <si>
    <t>Runway / Approach</t>
  </si>
  <si>
    <t>Head Wind</t>
  </si>
  <si>
    <t>Cross Wind</t>
  </si>
  <si>
    <t>Pressure Altitude</t>
  </si>
  <si>
    <t>Density Altitude</t>
  </si>
  <si>
    <t>Remarks</t>
  </si>
  <si>
    <t>AFT</t>
  </si>
  <si>
    <t>CG</t>
  </si>
  <si>
    <t>FWD</t>
  </si>
  <si>
    <t>NORMAL</t>
  </si>
  <si>
    <t>UTILITY</t>
  </si>
  <si>
    <t>Max Ramp</t>
  </si>
  <si>
    <t>Max Takeoff</t>
  </si>
  <si>
    <t>Max Landing</t>
  </si>
  <si>
    <t>Weight</t>
  </si>
  <si>
    <t>Moment</t>
  </si>
  <si>
    <t>Item</t>
  </si>
  <si>
    <t>Knots</t>
  </si>
  <si>
    <t>Ground Roll</t>
  </si>
  <si>
    <t>Headwind</t>
  </si>
  <si>
    <t>Crosswind</t>
  </si>
  <si>
    <t>Start, Taxi, Run-up</t>
  </si>
  <si>
    <t>PREFLIGHT ACTION</t>
  </si>
  <si>
    <t>Gross Takeoff Weight</t>
  </si>
  <si>
    <t>PERFORMANCE DATA</t>
  </si>
  <si>
    <t>TAKEOFF</t>
  </si>
  <si>
    <t>LANDING</t>
  </si>
  <si>
    <t>V SPEEDS</t>
  </si>
  <si>
    <r>
      <t>V</t>
    </r>
    <r>
      <rPr>
        <b/>
        <sz val="8"/>
        <rFont val="Arial"/>
        <family val="2"/>
      </rPr>
      <t>R</t>
    </r>
  </si>
  <si>
    <r>
      <t>V</t>
    </r>
    <r>
      <rPr>
        <b/>
        <sz val="8"/>
        <rFont val="Arial"/>
        <family val="2"/>
      </rPr>
      <t>X</t>
    </r>
  </si>
  <si>
    <t>Over 50' Obstacle</t>
  </si>
  <si>
    <t>KIAS</t>
  </si>
  <si>
    <t>Ft.</t>
  </si>
  <si>
    <t>Lbs.</t>
  </si>
  <si>
    <t>Temperature/Dewpoint</t>
  </si>
  <si>
    <t>/</t>
  </si>
  <si>
    <r>
      <t>V</t>
    </r>
    <r>
      <rPr>
        <b/>
        <sz val="8"/>
        <rFont val="Arial"/>
        <family val="2"/>
      </rPr>
      <t>BEST GLIDE</t>
    </r>
  </si>
  <si>
    <t>ATIS / Time</t>
  </si>
  <si>
    <t>Kts</t>
  </si>
  <si>
    <t>AIRCRAFT LOADING</t>
  </si>
  <si>
    <t>Pilot</t>
  </si>
  <si>
    <t>Front Seat Occupant</t>
  </si>
  <si>
    <t>Subtotal</t>
  </si>
  <si>
    <t>FACTORY</t>
  </si>
  <si>
    <t>Optional Equipment</t>
  </si>
  <si>
    <t>Useful Load</t>
  </si>
  <si>
    <t>Normal Category</t>
  </si>
  <si>
    <t>Utility Category</t>
  </si>
  <si>
    <t>Weight (Lbs.)</t>
  </si>
  <si>
    <r>
      <t>V</t>
    </r>
    <r>
      <rPr>
        <b/>
        <sz val="8"/>
        <rFont val="Arial"/>
        <family val="2"/>
      </rPr>
      <t>Y</t>
    </r>
  </si>
  <si>
    <t>Visibility</t>
  </si>
  <si>
    <t>SM</t>
  </si>
  <si>
    <t>N757AD</t>
  </si>
  <si>
    <t>CESSNA C152 - AIRCRAFT DATA CARD</t>
  </si>
  <si>
    <t>CG MOVEMENT (N757AD)</t>
  </si>
  <si>
    <t>Fuel Load (Max 24.5 Gal Usable)</t>
  </si>
  <si>
    <r>
      <t>V</t>
    </r>
    <r>
      <rPr>
        <b/>
        <sz val="7"/>
        <rFont val="Arial"/>
        <family val="2"/>
      </rPr>
      <t>A</t>
    </r>
    <r>
      <rPr>
        <sz val="10"/>
        <rFont val="Arial"/>
        <family val="2"/>
      </rPr>
      <t xml:space="preserve"> (104 Knots at MTOW)</t>
    </r>
  </si>
  <si>
    <t>TO Condition (Max 1670 Lbs)</t>
  </si>
  <si>
    <t>Baggage Area 1 (Max 120 Lbs)</t>
  </si>
  <si>
    <t>Baggage Area 2 (Max 40 Lbs)</t>
  </si>
  <si>
    <t>UTILITY LIMIT</t>
  </si>
  <si>
    <t>Data Current As Of:</t>
  </si>
  <si>
    <t>KFRG - KFRG</t>
  </si>
  <si>
    <t>N798LA</t>
  </si>
  <si>
    <t>CG MOVEMENT (N798LA)</t>
  </si>
  <si>
    <t>Runway:</t>
  </si>
  <si>
    <t>TODA:</t>
  </si>
  <si>
    <t>LDA:</t>
  </si>
  <si>
    <t>Runway Condition</t>
  </si>
  <si>
    <t>/             /</t>
  </si>
  <si>
    <t>Weather and Sky Condition</t>
  </si>
  <si>
    <t>N65199</t>
  </si>
  <si>
    <t>CG MOVEMENT (N65199)</t>
  </si>
  <si>
    <t>Revision 1.7.1 (09/2019)</t>
  </si>
  <si>
    <t>© 2009 - 2019 Long Island Aviators. Created by CFI William Wang. All Rights Reserved. Use at own risk and with permission only.</t>
  </si>
  <si>
    <t>Revision 1.7.1 (02/2019)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</si>
</sst>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_);[Red]\(0.00\)"/>
  </numFmts>
  <fonts count="1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2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22"/>
      <name val="Arial"/>
      <family val="2"/>
    </font>
    <font>
      <b/>
      <sz val="18"/>
      <color indexed="10"/>
      <name val="Arial"/>
      <family val="2"/>
    </font>
    <font>
      <b/>
      <sz val="12"/>
      <name val="Arial"/>
      <family val="2"/>
    </font>
    <font>
      <b/>
      <sz val="10"/>
      <color rgb="FF800080"/>
      <name val="Arial"/>
      <family val="2"/>
    </font>
    <font>
      <sz val="10"/>
      <color rgb="FFFF0000"/>
      <name val="Arial"/>
      <family val="2"/>
    </font>
    <font>
      <b/>
      <sz val="10"/>
      <color rgb="FF7030A0"/>
      <name val="Arial"/>
      <family val="2"/>
    </font>
    <font>
      <sz val="10"/>
      <color rgb="FF0070C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gray125">
        <bgColor indexed="9"/>
      </patternFill>
    </fill>
    <fill>
      <patternFill patternType="gray125">
        <bgColor indexed="42"/>
      </patternFill>
    </fill>
    <fill>
      <patternFill patternType="gray125">
        <bgColor indexed="4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" fillId="2" borderId="24" xfId="0" applyFont="1" applyFill="1" applyBorder="1"/>
    <xf numFmtId="0" fontId="0" fillId="2" borderId="25" xfId="0" applyFill="1" applyBorder="1"/>
    <xf numFmtId="0" fontId="0" fillId="2" borderId="26" xfId="0" applyFill="1" applyBorder="1"/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27" xfId="0" applyBorder="1"/>
    <xf numFmtId="0" fontId="1" fillId="0" borderId="4" xfId="0" applyFont="1" applyBorder="1"/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29" xfId="0" applyBorder="1"/>
    <xf numFmtId="0" fontId="0" fillId="0" borderId="28" xfId="0" applyBorder="1"/>
    <xf numFmtId="0" fontId="1" fillId="0" borderId="30" xfId="0" applyFont="1" applyBorder="1" applyAlignment="1">
      <alignment horizontal="center"/>
    </xf>
    <xf numFmtId="0" fontId="1" fillId="0" borderId="31" xfId="0" applyFont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1" fillId="0" borderId="3" xfId="0" applyFont="1" applyBorder="1"/>
    <xf numFmtId="0" fontId="0" fillId="0" borderId="36" xfId="0" applyBorder="1"/>
    <xf numFmtId="2" fontId="0" fillId="0" borderId="37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5" fillId="4" borderId="40" xfId="0" applyFont="1" applyFill="1" applyBorder="1" applyAlignment="1" applyProtection="1">
      <alignment vertical="center"/>
      <protection locked="0"/>
    </xf>
    <xf numFmtId="2" fontId="0" fillId="0" borderId="43" xfId="0" applyNumberFormat="1" applyBorder="1"/>
    <xf numFmtId="2" fontId="0" fillId="0" borderId="44" xfId="0" applyNumberFormat="1" applyBorder="1"/>
    <xf numFmtId="2" fontId="0" fillId="0" borderId="30" xfId="0" applyNumberFormat="1" applyBorder="1"/>
    <xf numFmtId="2" fontId="0" fillId="0" borderId="9" xfId="0" applyNumberFormat="1" applyBorder="1"/>
    <xf numFmtId="2" fontId="0" fillId="0" borderId="5" xfId="0" applyNumberFormat="1" applyBorder="1"/>
    <xf numFmtId="2" fontId="0" fillId="0" borderId="23" xfId="0" applyNumberFormat="1" applyBorder="1"/>
    <xf numFmtId="2" fontId="0" fillId="0" borderId="29" xfId="0" applyNumberFormat="1" applyBorder="1" applyAlignment="1">
      <alignment horizontal="center"/>
    </xf>
    <xf numFmtId="1" fontId="0" fillId="0" borderId="44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2" fontId="0" fillId="0" borderId="56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57" xfId="0" applyNumberFormat="1" applyBorder="1" applyAlignment="1">
      <alignment horizontal="center"/>
    </xf>
    <xf numFmtId="0" fontId="1" fillId="0" borderId="27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0" fillId="11" borderId="0" xfId="0" applyFill="1"/>
    <xf numFmtId="0" fontId="1" fillId="11" borderId="0" xfId="0" applyFont="1" applyFill="1" applyAlignment="1">
      <alignment horizontal="right"/>
    </xf>
    <xf numFmtId="0" fontId="1" fillId="11" borderId="0" xfId="0" applyFont="1" applyFill="1"/>
    <xf numFmtId="0" fontId="1" fillId="0" borderId="59" xfId="0" applyFont="1" applyBorder="1"/>
    <xf numFmtId="0" fontId="0" fillId="0" borderId="59" xfId="0" applyBorder="1"/>
    <xf numFmtId="0" fontId="1" fillId="0" borderId="15" xfId="0" applyFont="1" applyBorder="1"/>
    <xf numFmtId="0" fontId="1" fillId="0" borderId="7" xfId="0" applyFont="1" applyBorder="1"/>
    <xf numFmtId="0" fontId="7" fillId="0" borderId="0" xfId="0" applyFont="1" applyAlignment="1">
      <alignment horizontal="left" indent="1"/>
    </xf>
    <xf numFmtId="0" fontId="1" fillId="0" borderId="60" xfId="0" applyFont="1" applyBorder="1" applyAlignment="1">
      <alignment vertical="center"/>
    </xf>
    <xf numFmtId="0" fontId="1" fillId="2" borderId="27" xfId="0" applyFont="1" applyFill="1" applyBorder="1" applyAlignment="1">
      <alignment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 indent="1"/>
    </xf>
    <xf numFmtId="0" fontId="0" fillId="7" borderId="38" xfId="0" applyFill="1" applyBorder="1" applyAlignment="1">
      <alignment vertical="center"/>
    </xf>
    <xf numFmtId="2" fontId="0" fillId="0" borderId="39" xfId="0" applyNumberFormat="1" applyBorder="1" applyAlignment="1">
      <alignment vertical="center"/>
    </xf>
    <xf numFmtId="0" fontId="5" fillId="0" borderId="38" xfId="0" applyFont="1" applyBorder="1" applyAlignment="1">
      <alignment vertical="center"/>
    </xf>
    <xf numFmtId="2" fontId="0" fillId="0" borderId="38" xfId="0" applyNumberFormat="1" applyBorder="1" applyAlignment="1">
      <alignment vertical="center"/>
    </xf>
    <xf numFmtId="0" fontId="1" fillId="5" borderId="24" xfId="0" applyFont="1" applyFill="1" applyBorder="1" applyAlignment="1">
      <alignment horizontal="left" vertical="center"/>
    </xf>
    <xf numFmtId="0" fontId="0" fillId="9" borderId="58" xfId="0" applyFill="1" applyBorder="1" applyAlignment="1">
      <alignment vertical="center"/>
    </xf>
    <xf numFmtId="0" fontId="1" fillId="5" borderId="50" xfId="0" applyFont="1" applyFill="1" applyBorder="1" applyAlignment="1">
      <alignment vertical="center"/>
    </xf>
    <xf numFmtId="2" fontId="1" fillId="5" borderId="1" xfId="0" applyNumberFormat="1" applyFont="1" applyFill="1" applyBorder="1" applyAlignment="1">
      <alignment vertical="center"/>
    </xf>
    <xf numFmtId="2" fontId="1" fillId="5" borderId="26" xfId="0" applyNumberFormat="1" applyFont="1" applyFill="1" applyBorder="1" applyAlignment="1">
      <alignment vertical="center"/>
    </xf>
    <xf numFmtId="0" fontId="3" fillId="0" borderId="24" xfId="0" applyFont="1" applyBorder="1" applyAlignment="1">
      <alignment horizontal="left" vertical="center" indent="1"/>
    </xf>
    <xf numFmtId="2" fontId="3" fillId="0" borderId="40" xfId="0" applyNumberFormat="1" applyFont="1" applyBorder="1" applyAlignment="1">
      <alignment vertical="center"/>
    </xf>
    <xf numFmtId="0" fontId="1" fillId="0" borderId="32" xfId="0" applyFont="1" applyBorder="1" applyAlignment="1">
      <alignment horizontal="right"/>
    </xf>
    <xf numFmtId="1" fontId="3" fillId="0" borderId="40" xfId="0" applyNumberFormat="1" applyFont="1" applyBorder="1" applyAlignment="1">
      <alignment vertical="center"/>
    </xf>
    <xf numFmtId="2" fontId="3" fillId="0" borderId="41" xfId="0" applyNumberFormat="1" applyFont="1" applyBorder="1" applyAlignment="1">
      <alignment vertical="center"/>
    </xf>
    <xf numFmtId="0" fontId="1" fillId="6" borderId="24" xfId="0" applyFont="1" applyFill="1" applyBorder="1" applyAlignment="1">
      <alignment horizontal="left" vertical="center"/>
    </xf>
    <xf numFmtId="0" fontId="0" fillId="8" borderId="58" xfId="0" applyFill="1" applyBorder="1" applyAlignment="1">
      <alignment vertical="center"/>
    </xf>
    <xf numFmtId="0" fontId="1" fillId="6" borderId="50" xfId="0" applyFont="1" applyFill="1" applyBorder="1" applyAlignment="1">
      <alignment vertical="center"/>
    </xf>
    <xf numFmtId="2" fontId="1" fillId="6" borderId="1" xfId="0" applyNumberFormat="1" applyFont="1" applyFill="1" applyBorder="1" applyAlignment="1">
      <alignment vertical="center"/>
    </xf>
    <xf numFmtId="2" fontId="1" fillId="6" borderId="26" xfId="0" applyNumberFormat="1" applyFont="1" applyFill="1" applyBorder="1" applyAlignment="1">
      <alignment vertical="center"/>
    </xf>
    <xf numFmtId="0" fontId="0" fillId="0" borderId="51" xfId="0" applyBorder="1" applyAlignment="1">
      <alignment horizontal="right"/>
    </xf>
    <xf numFmtId="0" fontId="1" fillId="2" borderId="24" xfId="0" applyFont="1" applyFill="1" applyBorder="1" applyAlignment="1">
      <alignment horizontal="left" vertical="center"/>
    </xf>
    <xf numFmtId="165" fontId="1" fillId="2" borderId="50" xfId="0" applyNumberFormat="1" applyFont="1" applyFill="1" applyBorder="1" applyAlignment="1">
      <alignment horizontal="right" vertical="center"/>
    </xf>
    <xf numFmtId="0" fontId="1" fillId="2" borderId="26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/>
    </xf>
    <xf numFmtId="1" fontId="1" fillId="2" borderId="28" xfId="0" applyNumberFormat="1" applyFont="1" applyFill="1" applyBorder="1" applyAlignment="1">
      <alignment horizontal="right" vertical="center"/>
    </xf>
    <xf numFmtId="0" fontId="1" fillId="2" borderId="23" xfId="0" applyFont="1" applyFill="1" applyBorder="1" applyAlignment="1">
      <alignment horizontal="left" vertical="center"/>
    </xf>
    <xf numFmtId="0" fontId="0" fillId="0" borderId="52" xfId="0" applyBorder="1" applyAlignment="1">
      <alignment horizontal="right"/>
    </xf>
    <xf numFmtId="0" fontId="0" fillId="0" borderId="44" xfId="0" applyBorder="1"/>
    <xf numFmtId="0" fontId="7" fillId="0" borderId="46" xfId="0" applyFont="1" applyBorder="1" applyAlignment="1">
      <alignment horizontal="left" vertical="center" indent="1"/>
    </xf>
    <xf numFmtId="2" fontId="0" fillId="13" borderId="29" xfId="0" applyNumberFormat="1" applyFill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1" fontId="0" fillId="0" borderId="53" xfId="0" applyNumberFormat="1" applyBorder="1" applyAlignment="1">
      <alignment horizontal="center"/>
    </xf>
    <xf numFmtId="2" fontId="0" fillId="0" borderId="54" xfId="0" applyNumberFormat="1" applyBorder="1" applyAlignment="1">
      <alignment horizontal="center"/>
    </xf>
    <xf numFmtId="2" fontId="0" fillId="13" borderId="28" xfId="0" applyNumberFormat="1" applyFill="1" applyBorder="1" applyAlignment="1">
      <alignment horizontal="center"/>
    </xf>
    <xf numFmtId="2" fontId="0" fillId="13" borderId="23" xfId="0" applyNumberFormat="1" applyFill="1" applyBorder="1" applyAlignment="1">
      <alignment horizontal="center"/>
    </xf>
    <xf numFmtId="2" fontId="0" fillId="13" borderId="9" xfId="0" applyNumberFormat="1" applyFill="1" applyBorder="1" applyAlignment="1">
      <alignment horizontal="center"/>
    </xf>
    <xf numFmtId="0" fontId="1" fillId="0" borderId="21" xfId="0" applyFont="1" applyBorder="1"/>
    <xf numFmtId="0" fontId="0" fillId="0" borderId="52" xfId="0" applyBorder="1"/>
    <xf numFmtId="1" fontId="0" fillId="0" borderId="52" xfId="0" applyNumberFormat="1" applyBorder="1" applyAlignment="1">
      <alignment horizontal="right"/>
    </xf>
    <xf numFmtId="0" fontId="0" fillId="0" borderId="36" xfId="0" applyBorder="1" applyAlignment="1">
      <alignment horizontal="right"/>
    </xf>
    <xf numFmtId="0" fontId="0" fillId="0" borderId="51" xfId="0" applyBorder="1" applyAlignment="1">
      <alignment horizontal="center"/>
    </xf>
    <xf numFmtId="0" fontId="0" fillId="0" borderId="6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10" borderId="39" xfId="0" applyFill="1" applyBorder="1" applyAlignment="1">
      <alignment horizontal="center" vertical="center"/>
    </xf>
    <xf numFmtId="0" fontId="0" fillId="10" borderId="62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7" xfId="0" applyBorder="1" applyAlignment="1">
      <alignment horizontal="left" vertical="center" indent="1"/>
    </xf>
    <xf numFmtId="0" fontId="0" fillId="0" borderId="46" xfId="0" applyBorder="1" applyAlignment="1">
      <alignment horizontal="left" vertical="center" indent="1"/>
    </xf>
    <xf numFmtId="0" fontId="0" fillId="0" borderId="46" xfId="0" applyBorder="1" applyAlignment="1">
      <alignment horizontal="left" vertical="center" indent="3"/>
    </xf>
    <xf numFmtId="0" fontId="0" fillId="0" borderId="4" xfId="0" applyBorder="1" applyAlignment="1">
      <alignment horizontal="left" vertical="center" indent="1"/>
    </xf>
    <xf numFmtId="0" fontId="0" fillId="0" borderId="49" xfId="0" applyBorder="1" applyAlignment="1">
      <alignment horizontal="left" vertical="center" indent="1"/>
    </xf>
    <xf numFmtId="0" fontId="0" fillId="0" borderId="48" xfId="0" applyBorder="1" applyAlignment="1">
      <alignment horizontal="left" vertical="center" indent="1"/>
    </xf>
    <xf numFmtId="164" fontId="3" fillId="0" borderId="40" xfId="0" applyNumberFormat="1" applyFont="1" applyBorder="1" applyAlignment="1">
      <alignment vertical="center"/>
    </xf>
    <xf numFmtId="2" fontId="0" fillId="13" borderId="4" xfId="0" applyNumberFormat="1" applyFill="1" applyBorder="1" applyAlignment="1">
      <alignment horizontal="center"/>
    </xf>
    <xf numFmtId="1" fontId="0" fillId="13" borderId="44" xfId="0" applyNumberFormat="1" applyFill="1" applyBorder="1" applyAlignment="1">
      <alignment horizontal="center"/>
    </xf>
    <xf numFmtId="2" fontId="0" fillId="13" borderId="21" xfId="0" applyNumberFormat="1" applyFill="1" applyBorder="1" applyAlignment="1">
      <alignment horizontal="center"/>
    </xf>
    <xf numFmtId="1" fontId="0" fillId="13" borderId="30" xfId="0" applyNumberFormat="1" applyFill="1" applyBorder="1" applyAlignment="1">
      <alignment horizontal="center"/>
    </xf>
    <xf numFmtId="0" fontId="14" fillId="3" borderId="38" xfId="0" applyFont="1" applyFill="1" applyBorder="1" applyAlignment="1">
      <alignment vertical="center"/>
    </xf>
    <xf numFmtId="0" fontId="0" fillId="10" borderId="46" xfId="0" applyFill="1" applyBorder="1" applyAlignment="1">
      <alignment horizontal="left" vertical="center" indent="1"/>
    </xf>
    <xf numFmtId="0" fontId="0" fillId="10" borderId="61" xfId="0" applyFill="1" applyBorder="1" applyAlignment="1">
      <alignment horizontal="left" vertical="center" indent="1"/>
    </xf>
    <xf numFmtId="0" fontId="13" fillId="12" borderId="45" xfId="0" applyFont="1" applyFill="1" applyBorder="1" applyAlignment="1" applyProtection="1">
      <alignment vertical="center"/>
      <protection locked="0"/>
    </xf>
    <xf numFmtId="0" fontId="13" fillId="12" borderId="38" xfId="0" applyFont="1" applyFill="1" applyBorder="1" applyAlignment="1" applyProtection="1">
      <alignment vertical="center"/>
      <protection locked="0"/>
    </xf>
    <xf numFmtId="0" fontId="13" fillId="10" borderId="38" xfId="0" applyFont="1" applyFill="1" applyBorder="1" applyAlignment="1">
      <alignment vertical="center"/>
    </xf>
    <xf numFmtId="0" fontId="13" fillId="10" borderId="57" xfId="0" applyFont="1" applyFill="1" applyBorder="1" applyAlignment="1">
      <alignment horizontal="right" vertical="center"/>
    </xf>
    <xf numFmtId="2" fontId="0" fillId="0" borderId="28" xfId="0" applyNumberFormat="1" applyBorder="1" applyAlignment="1">
      <alignment horizontal="center"/>
    </xf>
    <xf numFmtId="2" fontId="0" fillId="3" borderId="38" xfId="0" applyNumberFormat="1" applyFill="1" applyBorder="1" applyAlignment="1">
      <alignment vertical="center"/>
    </xf>
    <xf numFmtId="0" fontId="1" fillId="3" borderId="24" xfId="0" applyFont="1" applyFill="1" applyBorder="1" applyAlignment="1">
      <alignment horizontal="left" vertical="center"/>
    </xf>
    <xf numFmtId="0" fontId="16" fillId="0" borderId="24" xfId="0" applyFont="1" applyBorder="1" applyAlignment="1">
      <alignment horizontal="left" vertical="center" indent="1"/>
    </xf>
    <xf numFmtId="0" fontId="16" fillId="0" borderId="40" xfId="0" applyFont="1" applyBorder="1" applyAlignment="1">
      <alignment vertical="center"/>
    </xf>
    <xf numFmtId="2" fontId="16" fillId="0" borderId="40" xfId="0" applyNumberFormat="1" applyFont="1" applyBorder="1" applyAlignment="1">
      <alignment vertical="center"/>
    </xf>
    <xf numFmtId="2" fontId="16" fillId="0" borderId="41" xfId="0" applyNumberFormat="1" applyFont="1" applyBorder="1" applyAlignment="1">
      <alignment vertical="center"/>
    </xf>
    <xf numFmtId="0" fontId="17" fillId="0" borderId="46" xfId="0" applyFont="1" applyBorder="1" applyAlignment="1">
      <alignment horizontal="left" vertical="center" indent="1"/>
    </xf>
    <xf numFmtId="0" fontId="18" fillId="0" borderId="46" xfId="0" applyFont="1" applyBorder="1" applyAlignment="1">
      <alignment horizontal="left" vertical="center" indent="1"/>
    </xf>
    <xf numFmtId="0" fontId="18" fillId="0" borderId="0" xfId="0" applyFont="1" applyAlignment="1">
      <alignment horizontal="left" vertical="center"/>
    </xf>
    <xf numFmtId="0" fontId="18" fillId="0" borderId="48" xfId="0" applyFont="1" applyBorder="1" applyAlignment="1">
      <alignment horizontal="left" vertical="center" indent="1"/>
    </xf>
    <xf numFmtId="0" fontId="18" fillId="0" borderId="22" xfId="0" applyFont="1" applyBorder="1" applyAlignment="1">
      <alignment horizontal="left" vertical="center"/>
    </xf>
    <xf numFmtId="0" fontId="7" fillId="0" borderId="61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center" textRotation="90"/>
    </xf>
    <xf numFmtId="0" fontId="1" fillId="5" borderId="24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0" borderId="51" xfId="0" applyBorder="1" applyAlignment="1">
      <alignment horizontal="center"/>
    </xf>
    <xf numFmtId="0" fontId="0" fillId="0" borderId="14" xfId="0" applyBorder="1" applyAlignment="1">
      <alignment horizontal="center"/>
    </xf>
    <xf numFmtId="0" fontId="9" fillId="14" borderId="8" xfId="0" applyFont="1" applyFill="1" applyBorder="1" applyAlignment="1">
      <alignment horizontal="center" vertical="center"/>
    </xf>
    <xf numFmtId="0" fontId="9" fillId="14" borderId="7" xfId="0" applyFont="1" applyFill="1" applyBorder="1" applyAlignment="1">
      <alignment horizontal="center" vertical="center"/>
    </xf>
    <xf numFmtId="0" fontId="9" fillId="14" borderId="14" xfId="0" applyFont="1" applyFill="1" applyBorder="1" applyAlignment="1">
      <alignment horizontal="center" vertical="center"/>
    </xf>
    <xf numFmtId="2" fontId="11" fillId="0" borderId="27" xfId="0" applyNumberFormat="1" applyFont="1" applyBorder="1" applyAlignment="1">
      <alignment horizontal="center" vertical="center" wrapText="1"/>
    </xf>
    <xf numFmtId="2" fontId="11" fillId="0" borderId="37" xfId="0" applyNumberFormat="1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2" fontId="11" fillId="0" borderId="9" xfId="0" applyNumberFormat="1" applyFont="1" applyBorder="1" applyAlignment="1">
      <alignment horizontal="center" vertical="center" wrapText="1"/>
    </xf>
    <xf numFmtId="2" fontId="11" fillId="0" borderId="21" xfId="0" applyNumberFormat="1" applyFont="1" applyBorder="1" applyAlignment="1">
      <alignment horizontal="center" vertical="center" wrapText="1"/>
    </xf>
    <xf numFmtId="2" fontId="11" fillId="0" borderId="23" xfId="0" applyNumberFormat="1" applyFont="1" applyBorder="1" applyAlignment="1">
      <alignment horizontal="center" vertical="center" wrapText="1"/>
    </xf>
    <xf numFmtId="0" fontId="9" fillId="14" borderId="31" xfId="0" applyFont="1" applyFill="1" applyBorder="1" applyAlignment="1">
      <alignment horizontal="center" vertical="center"/>
    </xf>
    <xf numFmtId="0" fontId="9" fillId="14" borderId="34" xfId="0" applyFont="1" applyFill="1" applyBorder="1" applyAlignment="1">
      <alignment horizontal="center" vertical="center"/>
    </xf>
    <xf numFmtId="0" fontId="9" fillId="14" borderId="35" xfId="0" applyFont="1" applyFill="1" applyBorder="1" applyAlignment="1">
      <alignment horizontal="center" vertical="center"/>
    </xf>
    <xf numFmtId="0" fontId="7" fillId="0" borderId="52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1" xfId="0" applyBorder="1" applyAlignment="1">
      <alignment horizontal="left" vertical="center" indent="1"/>
    </xf>
    <xf numFmtId="0" fontId="0" fillId="0" borderId="59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1" fillId="5" borderId="24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 vertical="center"/>
    </xf>
    <xf numFmtId="0" fontId="12" fillId="5" borderId="42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0" fontId="10" fillId="5" borderId="42" xfId="0" applyFont="1" applyFill="1" applyBorder="1" applyAlignment="1">
      <alignment horizontal="right" vertical="center"/>
    </xf>
    <xf numFmtId="0" fontId="10" fillId="5" borderId="37" xfId="0" applyFont="1" applyFill="1" applyBorder="1" applyAlignment="1">
      <alignment horizontal="right" vertical="center"/>
    </xf>
    <xf numFmtId="0" fontId="10" fillId="5" borderId="22" xfId="0" applyFont="1" applyFill="1" applyBorder="1" applyAlignment="1">
      <alignment horizontal="right" vertical="center"/>
    </xf>
    <xf numFmtId="0" fontId="10" fillId="5" borderId="23" xfId="0" applyFont="1" applyFill="1" applyBorder="1" applyAlignment="1">
      <alignment horizontal="right" vertical="center"/>
    </xf>
    <xf numFmtId="14" fontId="1" fillId="3" borderId="25" xfId="0" applyNumberFormat="1" applyFont="1" applyFill="1" applyBorder="1" applyAlignment="1">
      <alignment horizontal="right" vertical="center"/>
    </xf>
    <xf numFmtId="0" fontId="1" fillId="3" borderId="26" xfId="0" applyFont="1" applyFill="1" applyBorder="1" applyAlignment="1">
      <alignment horizontal="right" vertical="center"/>
    </xf>
    <xf numFmtId="0" fontId="6" fillId="0" borderId="24" xfId="0" applyFont="1" applyBorder="1" applyAlignment="1">
      <alignment horizontal="center" vertical="justify"/>
    </xf>
    <xf numFmtId="0" fontId="0" fillId="0" borderId="25" xfId="0" applyBorder="1"/>
    <xf numFmtId="0" fontId="0" fillId="0" borderId="26" xfId="0" applyBorder="1"/>
    <xf numFmtId="0" fontId="1" fillId="12" borderId="24" xfId="0" applyFont="1" applyFill="1" applyBorder="1" applyAlignment="1" applyProtection="1">
      <alignment horizontal="center" vertical="center"/>
      <protection locked="0"/>
    </xf>
    <xf numFmtId="0" fontId="1" fillId="12" borderId="26" xfId="0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top" textRotation="90"/>
    </xf>
    <xf numFmtId="0" fontId="4" fillId="0" borderId="31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14" fontId="15" fillId="0" borderId="25" xfId="0" applyNumberFormat="1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53" xfId="0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CENTER OF GRAVITY LIMITS</a:t>
            </a:r>
          </a:p>
        </c:rich>
      </c:tx>
      <c:layout>
        <c:manualLayout>
          <c:xMode val="edge"/>
          <c:yMode val="edge"/>
          <c:x val="0.33800350262697032"/>
          <c:y val="3.333333333333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565749136100685E-2"/>
          <c:y val="0.1125321098396912"/>
          <c:w val="0.88091143630917335"/>
          <c:h val="0.76470683731972089"/>
        </c:manualLayout>
      </c:layout>
      <c:scatterChart>
        <c:scatterStyle val="smoothMarker"/>
        <c:varyColors val="0"/>
        <c:ser>
          <c:idx val="1"/>
          <c:order val="0"/>
          <c:tx>
            <c:v>NORMAL FWD LIMIT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ENVELOPE!$C$3:$C$70</c:f>
              <c:numCache>
                <c:formatCode>0.00</c:formatCode>
                <c:ptCount val="68"/>
                <c:pt idx="0">
                  <c:v>31</c:v>
                </c:pt>
                <c:pt idx="1">
                  <c:v>31</c:v>
                </c:pt>
                <c:pt idx="2">
                  <c:v>31</c:v>
                </c:pt>
                <c:pt idx="3">
                  <c:v>31</c:v>
                </c:pt>
                <c:pt idx="4">
                  <c:v>31</c:v>
                </c:pt>
                <c:pt idx="5">
                  <c:v>31</c:v>
                </c:pt>
                <c:pt idx="6">
                  <c:v>31</c:v>
                </c:pt>
                <c:pt idx="7">
                  <c:v>31</c:v>
                </c:pt>
                <c:pt idx="8">
                  <c:v>31</c:v>
                </c:pt>
                <c:pt idx="9">
                  <c:v>31</c:v>
                </c:pt>
                <c:pt idx="10">
                  <c:v>31</c:v>
                </c:pt>
                <c:pt idx="11">
                  <c:v>31</c:v>
                </c:pt>
                <c:pt idx="12">
                  <c:v>31</c:v>
                </c:pt>
                <c:pt idx="13">
                  <c:v>31</c:v>
                </c:pt>
                <c:pt idx="14">
                  <c:v>31</c:v>
                </c:pt>
                <c:pt idx="15">
                  <c:v>31</c:v>
                </c:pt>
                <c:pt idx="16">
                  <c:v>31</c:v>
                </c:pt>
                <c:pt idx="17">
                  <c:v>31</c:v>
                </c:pt>
                <c:pt idx="18">
                  <c:v>31</c:v>
                </c:pt>
                <c:pt idx="19">
                  <c:v>31</c:v>
                </c:pt>
                <c:pt idx="20">
                  <c:v>31</c:v>
                </c:pt>
                <c:pt idx="21">
                  <c:v>31</c:v>
                </c:pt>
                <c:pt idx="22">
                  <c:v>31</c:v>
                </c:pt>
                <c:pt idx="23">
                  <c:v>31</c:v>
                </c:pt>
                <c:pt idx="24">
                  <c:v>31</c:v>
                </c:pt>
                <c:pt idx="25">
                  <c:v>31</c:v>
                </c:pt>
                <c:pt idx="26">
                  <c:v>31</c:v>
                </c:pt>
                <c:pt idx="27">
                  <c:v>31</c:v>
                </c:pt>
                <c:pt idx="28">
                  <c:v>31</c:v>
                </c:pt>
                <c:pt idx="29">
                  <c:v>31</c:v>
                </c:pt>
                <c:pt idx="30">
                  <c:v>31</c:v>
                </c:pt>
                <c:pt idx="31">
                  <c:v>31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31</c:v>
                </c:pt>
                <c:pt idx="36">
                  <c:v>31.051562499999999</c:v>
                </c:pt>
                <c:pt idx="37">
                  <c:v>31.103124999999999</c:v>
                </c:pt>
                <c:pt idx="38">
                  <c:v>31.154687500000001</c:v>
                </c:pt>
                <c:pt idx="39">
                  <c:v>31.206250000000001</c:v>
                </c:pt>
                <c:pt idx="40">
                  <c:v>31.2578125</c:v>
                </c:pt>
                <c:pt idx="41">
                  <c:v>31.309374999999999</c:v>
                </c:pt>
                <c:pt idx="42">
                  <c:v>31.360937499999999</c:v>
                </c:pt>
                <c:pt idx="43">
                  <c:v>31.412500000000001</c:v>
                </c:pt>
                <c:pt idx="44">
                  <c:v>31.464062500000001</c:v>
                </c:pt>
                <c:pt idx="45">
                  <c:v>31.515625</c:v>
                </c:pt>
                <c:pt idx="46">
                  <c:v>31.567187499999999</c:v>
                </c:pt>
                <c:pt idx="47">
                  <c:v>31.618749999999999</c:v>
                </c:pt>
                <c:pt idx="48">
                  <c:v>31.670312500000001</c:v>
                </c:pt>
                <c:pt idx="49">
                  <c:v>31.721875000000001</c:v>
                </c:pt>
                <c:pt idx="50">
                  <c:v>31.7734375</c:v>
                </c:pt>
                <c:pt idx="51">
                  <c:v>31.824999999999999</c:v>
                </c:pt>
                <c:pt idx="52">
                  <c:v>31.876562499999999</c:v>
                </c:pt>
                <c:pt idx="53">
                  <c:v>31.928125000000001</c:v>
                </c:pt>
                <c:pt idx="54">
                  <c:v>31.979687500000001</c:v>
                </c:pt>
                <c:pt idx="55">
                  <c:v>32.03125</c:v>
                </c:pt>
                <c:pt idx="56">
                  <c:v>32.082812500000003</c:v>
                </c:pt>
                <c:pt idx="57">
                  <c:v>32.134374999999999</c:v>
                </c:pt>
                <c:pt idx="58">
                  <c:v>32.185937500000001</c:v>
                </c:pt>
                <c:pt idx="59">
                  <c:v>32.237499999999997</c:v>
                </c:pt>
                <c:pt idx="60">
                  <c:v>32.2890625</c:v>
                </c:pt>
                <c:pt idx="61">
                  <c:v>32.340625000000003</c:v>
                </c:pt>
                <c:pt idx="62">
                  <c:v>32.392187499999999</c:v>
                </c:pt>
                <c:pt idx="63">
                  <c:v>32.443750000000001</c:v>
                </c:pt>
                <c:pt idx="64">
                  <c:v>32.495312499999997</c:v>
                </c:pt>
                <c:pt idx="65">
                  <c:v>32.546875</c:v>
                </c:pt>
                <c:pt idx="66">
                  <c:v>32.598437500000003</c:v>
                </c:pt>
                <c:pt idx="67">
                  <c:v>32.65</c:v>
                </c:pt>
              </c:numCache>
            </c:numRef>
          </c:xVal>
          <c:yVal>
            <c:numRef>
              <c:f>ENVELOPE!$B$3:$B$70</c:f>
              <c:numCache>
                <c:formatCode>0</c:formatCode>
                <c:ptCount val="68"/>
                <c:pt idx="0">
                  <c:v>1000</c:v>
                </c:pt>
                <c:pt idx="1">
                  <c:v>1010</c:v>
                </c:pt>
                <c:pt idx="2">
                  <c:v>1020</c:v>
                </c:pt>
                <c:pt idx="3">
                  <c:v>1030</c:v>
                </c:pt>
                <c:pt idx="4">
                  <c:v>1040</c:v>
                </c:pt>
                <c:pt idx="5">
                  <c:v>1050</c:v>
                </c:pt>
                <c:pt idx="6">
                  <c:v>1060</c:v>
                </c:pt>
                <c:pt idx="7">
                  <c:v>1070</c:v>
                </c:pt>
                <c:pt idx="8">
                  <c:v>1080</c:v>
                </c:pt>
                <c:pt idx="9">
                  <c:v>1090</c:v>
                </c:pt>
                <c:pt idx="10">
                  <c:v>1100</c:v>
                </c:pt>
                <c:pt idx="11">
                  <c:v>1110</c:v>
                </c:pt>
                <c:pt idx="12">
                  <c:v>1120</c:v>
                </c:pt>
                <c:pt idx="13">
                  <c:v>1130</c:v>
                </c:pt>
                <c:pt idx="14">
                  <c:v>1140</c:v>
                </c:pt>
                <c:pt idx="15">
                  <c:v>1150</c:v>
                </c:pt>
                <c:pt idx="16">
                  <c:v>1160</c:v>
                </c:pt>
                <c:pt idx="17">
                  <c:v>1170</c:v>
                </c:pt>
                <c:pt idx="18">
                  <c:v>1180</c:v>
                </c:pt>
                <c:pt idx="19">
                  <c:v>1190</c:v>
                </c:pt>
                <c:pt idx="20">
                  <c:v>1200</c:v>
                </c:pt>
                <c:pt idx="21">
                  <c:v>1210</c:v>
                </c:pt>
                <c:pt idx="22">
                  <c:v>1220</c:v>
                </c:pt>
                <c:pt idx="23">
                  <c:v>1230</c:v>
                </c:pt>
                <c:pt idx="24">
                  <c:v>1240</c:v>
                </c:pt>
                <c:pt idx="25">
                  <c:v>1250</c:v>
                </c:pt>
                <c:pt idx="26">
                  <c:v>1260</c:v>
                </c:pt>
                <c:pt idx="27">
                  <c:v>1270</c:v>
                </c:pt>
                <c:pt idx="28">
                  <c:v>1280</c:v>
                </c:pt>
                <c:pt idx="29">
                  <c:v>1290</c:v>
                </c:pt>
                <c:pt idx="30">
                  <c:v>1300</c:v>
                </c:pt>
                <c:pt idx="31">
                  <c:v>1310</c:v>
                </c:pt>
                <c:pt idx="32">
                  <c:v>1320</c:v>
                </c:pt>
                <c:pt idx="33">
                  <c:v>1330</c:v>
                </c:pt>
                <c:pt idx="34">
                  <c:v>1340</c:v>
                </c:pt>
                <c:pt idx="35">
                  <c:v>1350</c:v>
                </c:pt>
                <c:pt idx="36">
                  <c:v>1360</c:v>
                </c:pt>
                <c:pt idx="37">
                  <c:v>1370</c:v>
                </c:pt>
                <c:pt idx="38">
                  <c:v>1380</c:v>
                </c:pt>
                <c:pt idx="39">
                  <c:v>1390</c:v>
                </c:pt>
                <c:pt idx="40">
                  <c:v>1400</c:v>
                </c:pt>
                <c:pt idx="41">
                  <c:v>1410</c:v>
                </c:pt>
                <c:pt idx="42">
                  <c:v>1420</c:v>
                </c:pt>
                <c:pt idx="43">
                  <c:v>1430</c:v>
                </c:pt>
                <c:pt idx="44">
                  <c:v>1440</c:v>
                </c:pt>
                <c:pt idx="45">
                  <c:v>1450</c:v>
                </c:pt>
                <c:pt idx="46">
                  <c:v>1460</c:v>
                </c:pt>
                <c:pt idx="47">
                  <c:v>1470</c:v>
                </c:pt>
                <c:pt idx="48">
                  <c:v>1480</c:v>
                </c:pt>
                <c:pt idx="49">
                  <c:v>1490</c:v>
                </c:pt>
                <c:pt idx="50">
                  <c:v>1500</c:v>
                </c:pt>
                <c:pt idx="51">
                  <c:v>1510</c:v>
                </c:pt>
                <c:pt idx="52">
                  <c:v>1520</c:v>
                </c:pt>
                <c:pt idx="53">
                  <c:v>1530</c:v>
                </c:pt>
                <c:pt idx="54">
                  <c:v>1540</c:v>
                </c:pt>
                <c:pt idx="55">
                  <c:v>1550</c:v>
                </c:pt>
                <c:pt idx="56">
                  <c:v>1560</c:v>
                </c:pt>
                <c:pt idx="57">
                  <c:v>1570</c:v>
                </c:pt>
                <c:pt idx="58">
                  <c:v>1580</c:v>
                </c:pt>
                <c:pt idx="59">
                  <c:v>1590</c:v>
                </c:pt>
                <c:pt idx="60">
                  <c:v>1600</c:v>
                </c:pt>
                <c:pt idx="61">
                  <c:v>1610</c:v>
                </c:pt>
                <c:pt idx="62">
                  <c:v>1620</c:v>
                </c:pt>
                <c:pt idx="63">
                  <c:v>1630</c:v>
                </c:pt>
                <c:pt idx="64">
                  <c:v>1640</c:v>
                </c:pt>
                <c:pt idx="65">
                  <c:v>1650</c:v>
                </c:pt>
                <c:pt idx="66">
                  <c:v>1660</c:v>
                </c:pt>
                <c:pt idx="67">
                  <c:v>1670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7C-40F2-81D5-3E8759086DEB}"/>
            </c:ext>
          </c:extLst>
        </c:ser>
        <c:ser>
          <c:idx val="2"/>
          <c:order val="1"/>
          <c:tx>
            <c:v>NORMAL AFT LIMIT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ENVELOPE!$D$3:$D$70</c:f>
              <c:numCache>
                <c:formatCode>0.00</c:formatCode>
                <c:ptCount val="68"/>
                <c:pt idx="0">
                  <c:v>36.5</c:v>
                </c:pt>
                <c:pt idx="1">
                  <c:v>36.5</c:v>
                </c:pt>
                <c:pt idx="2">
                  <c:v>36.5</c:v>
                </c:pt>
                <c:pt idx="3">
                  <c:v>36.5</c:v>
                </c:pt>
                <c:pt idx="4">
                  <c:v>36.5</c:v>
                </c:pt>
                <c:pt idx="5">
                  <c:v>36.5</c:v>
                </c:pt>
                <c:pt idx="6">
                  <c:v>36.5</c:v>
                </c:pt>
                <c:pt idx="7">
                  <c:v>36.5</c:v>
                </c:pt>
                <c:pt idx="8">
                  <c:v>36.5</c:v>
                </c:pt>
                <c:pt idx="9">
                  <c:v>36.5</c:v>
                </c:pt>
                <c:pt idx="10">
                  <c:v>36.5</c:v>
                </c:pt>
                <c:pt idx="11">
                  <c:v>36.5</c:v>
                </c:pt>
                <c:pt idx="12">
                  <c:v>36.5</c:v>
                </c:pt>
                <c:pt idx="13">
                  <c:v>36.5</c:v>
                </c:pt>
                <c:pt idx="14">
                  <c:v>36.5</c:v>
                </c:pt>
                <c:pt idx="15">
                  <c:v>36.5</c:v>
                </c:pt>
                <c:pt idx="16">
                  <c:v>36.5</c:v>
                </c:pt>
                <c:pt idx="17">
                  <c:v>36.5</c:v>
                </c:pt>
                <c:pt idx="18">
                  <c:v>36.5</c:v>
                </c:pt>
                <c:pt idx="19">
                  <c:v>36.5</c:v>
                </c:pt>
                <c:pt idx="20">
                  <c:v>36.5</c:v>
                </c:pt>
                <c:pt idx="21">
                  <c:v>36.5</c:v>
                </c:pt>
                <c:pt idx="22">
                  <c:v>36.5</c:v>
                </c:pt>
                <c:pt idx="23">
                  <c:v>36.5</c:v>
                </c:pt>
                <c:pt idx="24">
                  <c:v>36.5</c:v>
                </c:pt>
                <c:pt idx="25">
                  <c:v>36.5</c:v>
                </c:pt>
                <c:pt idx="26">
                  <c:v>36.5</c:v>
                </c:pt>
                <c:pt idx="27">
                  <c:v>36.5</c:v>
                </c:pt>
                <c:pt idx="28">
                  <c:v>36.5</c:v>
                </c:pt>
                <c:pt idx="29">
                  <c:v>36.5</c:v>
                </c:pt>
                <c:pt idx="30">
                  <c:v>36.5</c:v>
                </c:pt>
                <c:pt idx="31">
                  <c:v>36.5</c:v>
                </c:pt>
                <c:pt idx="32">
                  <c:v>36.5</c:v>
                </c:pt>
                <c:pt idx="33">
                  <c:v>36.5</c:v>
                </c:pt>
                <c:pt idx="34">
                  <c:v>36.5</c:v>
                </c:pt>
                <c:pt idx="35">
                  <c:v>36.5</c:v>
                </c:pt>
                <c:pt idx="36">
                  <c:v>36.5</c:v>
                </c:pt>
                <c:pt idx="37">
                  <c:v>36.5</c:v>
                </c:pt>
                <c:pt idx="38">
                  <c:v>36.5</c:v>
                </c:pt>
                <c:pt idx="39">
                  <c:v>36.5</c:v>
                </c:pt>
                <c:pt idx="40">
                  <c:v>36.5</c:v>
                </c:pt>
                <c:pt idx="41">
                  <c:v>36.5</c:v>
                </c:pt>
                <c:pt idx="42">
                  <c:v>36.5</c:v>
                </c:pt>
                <c:pt idx="43">
                  <c:v>36.5</c:v>
                </c:pt>
                <c:pt idx="44">
                  <c:v>36.5</c:v>
                </c:pt>
                <c:pt idx="45">
                  <c:v>36.5</c:v>
                </c:pt>
                <c:pt idx="46">
                  <c:v>36.5</c:v>
                </c:pt>
                <c:pt idx="47">
                  <c:v>36.5</c:v>
                </c:pt>
                <c:pt idx="48">
                  <c:v>36.5</c:v>
                </c:pt>
                <c:pt idx="49">
                  <c:v>36.5</c:v>
                </c:pt>
                <c:pt idx="50">
                  <c:v>36.5</c:v>
                </c:pt>
                <c:pt idx="51">
                  <c:v>36.5</c:v>
                </c:pt>
                <c:pt idx="52">
                  <c:v>36.5</c:v>
                </c:pt>
                <c:pt idx="53">
                  <c:v>36.5</c:v>
                </c:pt>
                <c:pt idx="54">
                  <c:v>36.5</c:v>
                </c:pt>
                <c:pt idx="55">
                  <c:v>36.5</c:v>
                </c:pt>
                <c:pt idx="56">
                  <c:v>36.5</c:v>
                </c:pt>
                <c:pt idx="57">
                  <c:v>36.5</c:v>
                </c:pt>
                <c:pt idx="58">
                  <c:v>36.5</c:v>
                </c:pt>
                <c:pt idx="59">
                  <c:v>36.5</c:v>
                </c:pt>
                <c:pt idx="60">
                  <c:v>36.5</c:v>
                </c:pt>
                <c:pt idx="61">
                  <c:v>36.5</c:v>
                </c:pt>
                <c:pt idx="62">
                  <c:v>36.5</c:v>
                </c:pt>
                <c:pt idx="63">
                  <c:v>36.5</c:v>
                </c:pt>
                <c:pt idx="64">
                  <c:v>36.5</c:v>
                </c:pt>
                <c:pt idx="65">
                  <c:v>36.5</c:v>
                </c:pt>
                <c:pt idx="66">
                  <c:v>36.5</c:v>
                </c:pt>
                <c:pt idx="67">
                  <c:v>36.5</c:v>
                </c:pt>
              </c:numCache>
            </c:numRef>
          </c:xVal>
          <c:yVal>
            <c:numRef>
              <c:f>ENVELOPE!$B$3:$B$70</c:f>
              <c:numCache>
                <c:formatCode>0</c:formatCode>
                <c:ptCount val="68"/>
                <c:pt idx="0">
                  <c:v>1000</c:v>
                </c:pt>
                <c:pt idx="1">
                  <c:v>1010</c:v>
                </c:pt>
                <c:pt idx="2">
                  <c:v>1020</c:v>
                </c:pt>
                <c:pt idx="3">
                  <c:v>1030</c:v>
                </c:pt>
                <c:pt idx="4">
                  <c:v>1040</c:v>
                </c:pt>
                <c:pt idx="5">
                  <c:v>1050</c:v>
                </c:pt>
                <c:pt idx="6">
                  <c:v>1060</c:v>
                </c:pt>
                <c:pt idx="7">
                  <c:v>1070</c:v>
                </c:pt>
                <c:pt idx="8">
                  <c:v>1080</c:v>
                </c:pt>
                <c:pt idx="9">
                  <c:v>1090</c:v>
                </c:pt>
                <c:pt idx="10">
                  <c:v>1100</c:v>
                </c:pt>
                <c:pt idx="11">
                  <c:v>1110</c:v>
                </c:pt>
                <c:pt idx="12">
                  <c:v>1120</c:v>
                </c:pt>
                <c:pt idx="13">
                  <c:v>1130</c:v>
                </c:pt>
                <c:pt idx="14">
                  <c:v>1140</c:v>
                </c:pt>
                <c:pt idx="15">
                  <c:v>1150</c:v>
                </c:pt>
                <c:pt idx="16">
                  <c:v>1160</c:v>
                </c:pt>
                <c:pt idx="17">
                  <c:v>1170</c:v>
                </c:pt>
                <c:pt idx="18">
                  <c:v>1180</c:v>
                </c:pt>
                <c:pt idx="19">
                  <c:v>1190</c:v>
                </c:pt>
                <c:pt idx="20">
                  <c:v>1200</c:v>
                </c:pt>
                <c:pt idx="21">
                  <c:v>1210</c:v>
                </c:pt>
                <c:pt idx="22">
                  <c:v>1220</c:v>
                </c:pt>
                <c:pt idx="23">
                  <c:v>1230</c:v>
                </c:pt>
                <c:pt idx="24">
                  <c:v>1240</c:v>
                </c:pt>
                <c:pt idx="25">
                  <c:v>1250</c:v>
                </c:pt>
                <c:pt idx="26">
                  <c:v>1260</c:v>
                </c:pt>
                <c:pt idx="27">
                  <c:v>1270</c:v>
                </c:pt>
                <c:pt idx="28">
                  <c:v>1280</c:v>
                </c:pt>
                <c:pt idx="29">
                  <c:v>1290</c:v>
                </c:pt>
                <c:pt idx="30">
                  <c:v>1300</c:v>
                </c:pt>
                <c:pt idx="31">
                  <c:v>1310</c:v>
                </c:pt>
                <c:pt idx="32">
                  <c:v>1320</c:v>
                </c:pt>
                <c:pt idx="33">
                  <c:v>1330</c:v>
                </c:pt>
                <c:pt idx="34">
                  <c:v>1340</c:v>
                </c:pt>
                <c:pt idx="35">
                  <c:v>1350</c:v>
                </c:pt>
                <c:pt idx="36">
                  <c:v>1360</c:v>
                </c:pt>
                <c:pt idx="37">
                  <c:v>1370</c:v>
                </c:pt>
                <c:pt idx="38">
                  <c:v>1380</c:v>
                </c:pt>
                <c:pt idx="39">
                  <c:v>1390</c:v>
                </c:pt>
                <c:pt idx="40">
                  <c:v>1400</c:v>
                </c:pt>
                <c:pt idx="41">
                  <c:v>1410</c:v>
                </c:pt>
                <c:pt idx="42">
                  <c:v>1420</c:v>
                </c:pt>
                <c:pt idx="43">
                  <c:v>1430</c:v>
                </c:pt>
                <c:pt idx="44">
                  <c:v>1440</c:v>
                </c:pt>
                <c:pt idx="45">
                  <c:v>1450</c:v>
                </c:pt>
                <c:pt idx="46">
                  <c:v>1460</c:v>
                </c:pt>
                <c:pt idx="47">
                  <c:v>1470</c:v>
                </c:pt>
                <c:pt idx="48">
                  <c:v>1480</c:v>
                </c:pt>
                <c:pt idx="49">
                  <c:v>1490</c:v>
                </c:pt>
                <c:pt idx="50">
                  <c:v>1500</c:v>
                </c:pt>
                <c:pt idx="51">
                  <c:v>1510</c:v>
                </c:pt>
                <c:pt idx="52">
                  <c:v>1520</c:v>
                </c:pt>
                <c:pt idx="53">
                  <c:v>1530</c:v>
                </c:pt>
                <c:pt idx="54">
                  <c:v>1540</c:v>
                </c:pt>
                <c:pt idx="55">
                  <c:v>1550</c:v>
                </c:pt>
                <c:pt idx="56">
                  <c:v>1560</c:v>
                </c:pt>
                <c:pt idx="57">
                  <c:v>1570</c:v>
                </c:pt>
                <c:pt idx="58">
                  <c:v>1580</c:v>
                </c:pt>
                <c:pt idx="59">
                  <c:v>1590</c:v>
                </c:pt>
                <c:pt idx="60">
                  <c:v>1600</c:v>
                </c:pt>
                <c:pt idx="61">
                  <c:v>1610</c:v>
                </c:pt>
                <c:pt idx="62">
                  <c:v>1620</c:v>
                </c:pt>
                <c:pt idx="63">
                  <c:v>1630</c:v>
                </c:pt>
                <c:pt idx="64">
                  <c:v>1640</c:v>
                </c:pt>
                <c:pt idx="65">
                  <c:v>1650</c:v>
                </c:pt>
                <c:pt idx="66">
                  <c:v>1660</c:v>
                </c:pt>
                <c:pt idx="67">
                  <c:v>1670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A7C-40F2-81D5-3E8759086DEB}"/>
            </c:ext>
          </c:extLst>
        </c:ser>
        <c:ser>
          <c:idx val="3"/>
          <c:order val="2"/>
          <c:tx>
            <c:v>NORMAL MAX GROSS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ENVELOPE!$J$6:$J$7</c:f>
              <c:numCache>
                <c:formatCode>0.00</c:formatCode>
                <c:ptCount val="2"/>
                <c:pt idx="0">
                  <c:v>32.65</c:v>
                </c:pt>
                <c:pt idx="1">
                  <c:v>36.5</c:v>
                </c:pt>
              </c:numCache>
            </c:numRef>
          </c:xVal>
          <c:yVal>
            <c:numRef>
              <c:f>ENVELOPE!$I$6:$I$7</c:f>
              <c:numCache>
                <c:formatCode>General</c:formatCode>
                <c:ptCount val="2"/>
                <c:pt idx="0">
                  <c:v>1670</c:v>
                </c:pt>
                <c:pt idx="1">
                  <c:v>1670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A7C-40F2-81D5-3E8759086DEB}"/>
            </c:ext>
          </c:extLst>
        </c:ser>
        <c:ser>
          <c:idx val="5"/>
          <c:order val="3"/>
          <c:tx>
            <c:v>MAX LANDING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96.1</c:v>
              </c:pt>
              <c:pt idx="1">
                <c:v>102</c:v>
              </c:pt>
            </c:numLit>
          </c:xVal>
          <c:yVal>
            <c:numLit>
              <c:formatCode>General</c:formatCode>
              <c:ptCount val="2"/>
              <c:pt idx="0">
                <c:v>2407</c:v>
              </c:pt>
              <c:pt idx="1">
                <c:v>2407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2A7C-40F2-81D5-3E8759086DEB}"/>
            </c:ext>
          </c:extLst>
        </c:ser>
        <c:ser>
          <c:idx val="4"/>
          <c:order val="4"/>
          <c:tx>
            <c:v>CG MOVEMENT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ENVELOPE!$H$13:$H$19</c:f>
              <c:numCache>
                <c:formatCode>0.00</c:formatCode>
                <c:ptCount val="7"/>
                <c:pt idx="0">
                  <c:v>29.83</c:v>
                </c:pt>
                <c:pt idx="1">
                  <c:v>29.83</c:v>
                </c:pt>
                <c:pt idx="2">
                  <c:v>29.977651064712386</c:v>
                </c:pt>
                <c:pt idx="3">
                  <c:v>30.210081230853955</c:v>
                </c:pt>
                <c:pt idx="4">
                  <c:v>31.553724333903691</c:v>
                </c:pt>
                <c:pt idx="5">
                  <c:v>31.514633525515208</c:v>
                </c:pt>
                <c:pt idx="6">
                  <c:v>31.212021256465242</c:v>
                </c:pt>
              </c:numCache>
            </c:numRef>
          </c:xVal>
          <c:yVal>
            <c:numRef>
              <c:f>ENVELOPE!$G$13:$G$19</c:f>
              <c:numCache>
                <c:formatCode>0.00</c:formatCode>
                <c:ptCount val="7"/>
                <c:pt idx="0">
                  <c:v>1152.1199999999999</c:v>
                </c:pt>
                <c:pt idx="1">
                  <c:v>1152.1199999999999</c:v>
                </c:pt>
                <c:pt idx="2">
                  <c:v>1157.1199999999999</c:v>
                </c:pt>
                <c:pt idx="3">
                  <c:v>1162.1199999999999</c:v>
                </c:pt>
                <c:pt idx="4">
                  <c:v>1309.1199999999999</c:v>
                </c:pt>
                <c:pt idx="5">
                  <c:v>1304.32</c:v>
                </c:pt>
                <c:pt idx="6">
                  <c:v>1268.32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A7C-40F2-81D5-3E8759086DEB}"/>
            </c:ext>
          </c:extLst>
        </c:ser>
        <c:ser>
          <c:idx val="9"/>
          <c:order val="5"/>
          <c:tx>
            <c:v>Basic Empty Weight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ash"/>
            <c:size val="2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ENVELOPE!$H$13</c:f>
              <c:numCache>
                <c:formatCode>0.00</c:formatCode>
                <c:ptCount val="1"/>
                <c:pt idx="0">
                  <c:v>29.83</c:v>
                </c:pt>
              </c:numCache>
            </c:numRef>
          </c:xVal>
          <c:yVal>
            <c:numRef>
              <c:f>ENVELOPE!$G$13</c:f>
              <c:numCache>
                <c:formatCode>0.00</c:formatCode>
                <c:ptCount val="1"/>
                <c:pt idx="0">
                  <c:v>1152.1199999999999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2A7C-40F2-81D5-3E8759086DEB}"/>
            </c:ext>
          </c:extLst>
        </c:ser>
        <c:ser>
          <c:idx val="10"/>
          <c:order val="6"/>
          <c:tx>
            <c:v>Pilot + Front Pax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ENVELOPE!$H$14</c:f>
              <c:numCache>
                <c:formatCode>0.00</c:formatCode>
                <c:ptCount val="1"/>
                <c:pt idx="0">
                  <c:v>29.83</c:v>
                </c:pt>
              </c:numCache>
            </c:numRef>
          </c:xVal>
          <c:yVal>
            <c:numRef>
              <c:f>ENVELOPE!$G$14</c:f>
              <c:numCache>
                <c:formatCode>0.00</c:formatCode>
                <c:ptCount val="1"/>
                <c:pt idx="0">
                  <c:v>1152.1199999999999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2A7C-40F2-81D5-3E8759086DEB}"/>
            </c:ext>
          </c:extLst>
        </c:ser>
        <c:ser>
          <c:idx val="12"/>
          <c:order val="8"/>
          <c:tx>
            <c:v>Baggage Area A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ENVELOPE!$H$15</c:f>
              <c:numCache>
                <c:formatCode>0.00</c:formatCode>
                <c:ptCount val="1"/>
                <c:pt idx="0">
                  <c:v>29.977651064712386</c:v>
                </c:pt>
              </c:numCache>
            </c:numRef>
          </c:xVal>
          <c:yVal>
            <c:numRef>
              <c:f>ENVELOPE!$G$15</c:f>
              <c:numCache>
                <c:formatCode>0.00</c:formatCode>
                <c:ptCount val="1"/>
                <c:pt idx="0">
                  <c:v>1157.1199999999999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2A7C-40F2-81D5-3E8759086DEB}"/>
            </c:ext>
          </c:extLst>
        </c:ser>
        <c:ser>
          <c:idx val="15"/>
          <c:order val="9"/>
          <c:tx>
            <c:v>Baggage Area B</c:v>
          </c:tx>
          <c:marker>
            <c:symbol val="diamond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en-US"/>
              </a:p>
            </c:txPr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ENVELOPE!$H$16</c:f>
              <c:numCache>
                <c:formatCode>0.00</c:formatCode>
                <c:ptCount val="1"/>
                <c:pt idx="0">
                  <c:v>30.210081230853955</c:v>
                </c:pt>
              </c:numCache>
            </c:numRef>
          </c:xVal>
          <c:yVal>
            <c:numRef>
              <c:f>ENVELOPE!$G$16</c:f>
              <c:numCache>
                <c:formatCode>0.00</c:formatCode>
                <c:ptCount val="1"/>
                <c:pt idx="0">
                  <c:v>1162.1199999999999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2A7C-40F2-81D5-3E8759086DEB}"/>
            </c:ext>
          </c:extLst>
        </c:ser>
        <c:ser>
          <c:idx val="13"/>
          <c:order val="10"/>
          <c:tx>
            <c:v>Fuel Load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ENVELOPE!$H$17</c:f>
              <c:numCache>
                <c:formatCode>0.00</c:formatCode>
                <c:ptCount val="1"/>
                <c:pt idx="0">
                  <c:v>31.553724333903691</c:v>
                </c:pt>
              </c:numCache>
            </c:numRef>
          </c:xVal>
          <c:yVal>
            <c:numRef>
              <c:f>ENVELOPE!$G$17</c:f>
              <c:numCache>
                <c:formatCode>0.00</c:formatCode>
                <c:ptCount val="1"/>
                <c:pt idx="0">
                  <c:v>1309.1199999999999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2A7C-40F2-81D5-3E8759086DEB}"/>
            </c:ext>
          </c:extLst>
        </c:ser>
        <c:ser>
          <c:idx val="14"/>
          <c:order val="11"/>
          <c:tx>
            <c:v>T/O Condition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ENVELOPE!$H$18</c:f>
              <c:numCache>
                <c:formatCode>0.00</c:formatCode>
                <c:ptCount val="1"/>
                <c:pt idx="0">
                  <c:v>31.514633525515208</c:v>
                </c:pt>
              </c:numCache>
            </c:numRef>
          </c:xVal>
          <c:yVal>
            <c:numRef>
              <c:f>ENVELOPE!$G$18</c:f>
              <c:numCache>
                <c:formatCode>0.00</c:formatCode>
                <c:ptCount val="1"/>
                <c:pt idx="0">
                  <c:v>1304.32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2A7C-40F2-81D5-3E8759086DEB}"/>
            </c:ext>
          </c:extLst>
        </c:ser>
        <c:ser>
          <c:idx val="8"/>
          <c:order val="12"/>
          <c:tx>
            <c:v>Landing Condition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1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2A7C-40F2-81D5-3E8759086DE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FF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ENVELOPE!$H$19</c:f>
              <c:numCache>
                <c:formatCode>0.00</c:formatCode>
                <c:ptCount val="1"/>
                <c:pt idx="0">
                  <c:v>31.212021256465242</c:v>
                </c:pt>
              </c:numCache>
            </c:numRef>
          </c:xVal>
          <c:yVal>
            <c:numRef>
              <c:f>ENVELOPE!$G$19</c:f>
              <c:numCache>
                <c:formatCode>0.00</c:formatCode>
                <c:ptCount val="1"/>
                <c:pt idx="0">
                  <c:v>1268.32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2A7C-40F2-81D5-3E8759086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96544432"/>
        <c:axId val="-296543888"/>
        <c:extLst>
          <c:ext xmlns:c15="http://schemas.microsoft.com/office/drawing/2012/chart" uri="{02D57815-91ED-43cb-92C2-25804820EDAC}">
            <c15:filteredScatterSeries>
              <c15:ser>
                <c:idx val="11"/>
                <c:order val="7"/>
                <c:tx>
                  <c:v>Rear Seat Occupants</c:v>
                </c:tx>
                <c:spPr>
                  <a:ln w="12700">
                    <a:solidFill>
                      <a:srgbClr val="FFFF99"/>
                    </a:solidFill>
                    <a:prstDash val="solid"/>
                  </a:ln>
                </c:spPr>
                <c:marker>
                  <c:symbol val="diamond"/>
                  <c:size val="8"/>
                  <c:spPr>
                    <a:solidFill>
                      <a:srgbClr val="0070C0"/>
                    </a:solidFill>
                    <a:ln>
                      <a:solidFill>
                        <a:srgbClr val="0070C0"/>
                      </a:solidFill>
                      <a:prstDash val="solid"/>
                    </a:ln>
                  </c:spPr>
                </c:marker>
                <c:dLbls>
                  <c:spPr>
                    <a:noFill/>
                    <a:ln w="25400">
                      <a:noFill/>
                    </a:ln>
                  </c:spPr>
                  <c:txPr>
                    <a:bodyPr/>
                    <a:lstStyle/>
                    <a:p>
                      <a:pPr>
                        <a:defRPr sz="600" b="0" i="0" u="none" strike="noStrike" baseline="0">
                          <a:solidFill>
                            <a:srgbClr val="0070C0"/>
                          </a:solidFill>
                          <a:latin typeface="Arial"/>
                          <a:ea typeface="Arial"/>
                          <a:cs typeface="Arial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1"/>
                  <c:showSerName val="1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ENVELOPE!#REF!</c15:sqref>
                        </c15:formulaRef>
                      </c:ext>
                    </c:extLst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ENVELOPE!#REF!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D-2A7C-40F2-81D5-3E8759086DEB}"/>
                  </c:ext>
                </c:extLst>
              </c15:ser>
            </c15:filteredScatterSeries>
          </c:ext>
        </c:extLst>
      </c:scatterChart>
      <c:valAx>
        <c:axId val="-296544432"/>
        <c:scaling>
          <c:orientation val="minMax"/>
          <c:max val="37"/>
          <c:min val="29.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AIRPLANE C.G. LOCATION - INCHES AFT OF DATUM (STA. 0.0)</a:t>
                </a:r>
              </a:p>
            </c:rich>
          </c:tx>
          <c:layout>
            <c:manualLayout>
              <c:xMode val="edge"/>
              <c:yMode val="edge"/>
              <c:x val="0.24693538526598383"/>
              <c:y val="0.9309474392624004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96543888"/>
        <c:crossesAt val="1700"/>
        <c:crossBetween val="midCat"/>
        <c:majorUnit val="1"/>
        <c:minorUnit val="0.1"/>
      </c:valAx>
      <c:valAx>
        <c:axId val="-296543888"/>
        <c:scaling>
          <c:orientation val="minMax"/>
          <c:max val="1700"/>
          <c:min val="1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AIRPLANE WEIGHT (POUNDS)   </a:t>
                </a:r>
              </a:p>
            </c:rich>
          </c:tx>
          <c:layout>
            <c:manualLayout>
              <c:xMode val="edge"/>
              <c:yMode val="edge"/>
              <c:x val="1.4227652366571517E-2"/>
              <c:y val="0.2400005383942392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96544432"/>
        <c:crossesAt val="81"/>
        <c:crossBetween val="midCat"/>
        <c:majorUnit val="5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5" r="0.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CENTER OF GRAVITY LIMITS</a:t>
            </a:r>
          </a:p>
        </c:rich>
      </c:tx>
      <c:layout>
        <c:manualLayout>
          <c:xMode val="edge"/>
          <c:yMode val="edge"/>
          <c:x val="0.33800350262697032"/>
          <c:y val="3.333333333333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565749136100685E-2"/>
          <c:y val="0.1125321098396912"/>
          <c:w val="0.88091143630917335"/>
          <c:h val="0.76470683731972089"/>
        </c:manualLayout>
      </c:layout>
      <c:scatterChart>
        <c:scatterStyle val="smoothMarker"/>
        <c:varyColors val="0"/>
        <c:ser>
          <c:idx val="1"/>
          <c:order val="0"/>
          <c:tx>
            <c:v>NORMAL FWD LIMIT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ENVELOPE!$C$3:$C$70</c:f>
              <c:numCache>
                <c:formatCode>0.00</c:formatCode>
                <c:ptCount val="68"/>
                <c:pt idx="0">
                  <c:v>31</c:v>
                </c:pt>
                <c:pt idx="1">
                  <c:v>31</c:v>
                </c:pt>
                <c:pt idx="2">
                  <c:v>31</c:v>
                </c:pt>
                <c:pt idx="3">
                  <c:v>31</c:v>
                </c:pt>
                <c:pt idx="4">
                  <c:v>31</c:v>
                </c:pt>
                <c:pt idx="5">
                  <c:v>31</c:v>
                </c:pt>
                <c:pt idx="6">
                  <c:v>31</c:v>
                </c:pt>
                <c:pt idx="7">
                  <c:v>31</c:v>
                </c:pt>
                <c:pt idx="8">
                  <c:v>31</c:v>
                </c:pt>
                <c:pt idx="9">
                  <c:v>31</c:v>
                </c:pt>
                <c:pt idx="10">
                  <c:v>31</c:v>
                </c:pt>
                <c:pt idx="11">
                  <c:v>31</c:v>
                </c:pt>
                <c:pt idx="12">
                  <c:v>31</c:v>
                </c:pt>
                <c:pt idx="13">
                  <c:v>31</c:v>
                </c:pt>
                <c:pt idx="14">
                  <c:v>31</c:v>
                </c:pt>
                <c:pt idx="15">
                  <c:v>31</c:v>
                </c:pt>
                <c:pt idx="16">
                  <c:v>31</c:v>
                </c:pt>
                <c:pt idx="17">
                  <c:v>31</c:v>
                </c:pt>
                <c:pt idx="18">
                  <c:v>31</c:v>
                </c:pt>
                <c:pt idx="19">
                  <c:v>31</c:v>
                </c:pt>
                <c:pt idx="20">
                  <c:v>31</c:v>
                </c:pt>
                <c:pt idx="21">
                  <c:v>31</c:v>
                </c:pt>
                <c:pt idx="22">
                  <c:v>31</c:v>
                </c:pt>
                <c:pt idx="23">
                  <c:v>31</c:v>
                </c:pt>
                <c:pt idx="24">
                  <c:v>31</c:v>
                </c:pt>
                <c:pt idx="25">
                  <c:v>31</c:v>
                </c:pt>
                <c:pt idx="26">
                  <c:v>31</c:v>
                </c:pt>
                <c:pt idx="27">
                  <c:v>31</c:v>
                </c:pt>
                <c:pt idx="28">
                  <c:v>31</c:v>
                </c:pt>
                <c:pt idx="29">
                  <c:v>31</c:v>
                </c:pt>
                <c:pt idx="30">
                  <c:v>31</c:v>
                </c:pt>
                <c:pt idx="31">
                  <c:v>31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31</c:v>
                </c:pt>
                <c:pt idx="36">
                  <c:v>31.051562499999999</c:v>
                </c:pt>
                <c:pt idx="37">
                  <c:v>31.103124999999999</c:v>
                </c:pt>
                <c:pt idx="38">
                  <c:v>31.154687500000001</c:v>
                </c:pt>
                <c:pt idx="39">
                  <c:v>31.206250000000001</c:v>
                </c:pt>
                <c:pt idx="40">
                  <c:v>31.2578125</c:v>
                </c:pt>
                <c:pt idx="41">
                  <c:v>31.309374999999999</c:v>
                </c:pt>
                <c:pt idx="42">
                  <c:v>31.360937499999999</c:v>
                </c:pt>
                <c:pt idx="43">
                  <c:v>31.412500000000001</c:v>
                </c:pt>
                <c:pt idx="44">
                  <c:v>31.464062500000001</c:v>
                </c:pt>
                <c:pt idx="45">
                  <c:v>31.515625</c:v>
                </c:pt>
                <c:pt idx="46">
                  <c:v>31.567187499999999</c:v>
                </c:pt>
                <c:pt idx="47">
                  <c:v>31.618749999999999</c:v>
                </c:pt>
                <c:pt idx="48">
                  <c:v>31.670312500000001</c:v>
                </c:pt>
                <c:pt idx="49">
                  <c:v>31.721875000000001</c:v>
                </c:pt>
                <c:pt idx="50">
                  <c:v>31.7734375</c:v>
                </c:pt>
                <c:pt idx="51">
                  <c:v>31.824999999999999</c:v>
                </c:pt>
                <c:pt idx="52">
                  <c:v>31.876562499999999</c:v>
                </c:pt>
                <c:pt idx="53">
                  <c:v>31.928125000000001</c:v>
                </c:pt>
                <c:pt idx="54">
                  <c:v>31.979687500000001</c:v>
                </c:pt>
                <c:pt idx="55">
                  <c:v>32.03125</c:v>
                </c:pt>
                <c:pt idx="56">
                  <c:v>32.082812500000003</c:v>
                </c:pt>
                <c:pt idx="57">
                  <c:v>32.134374999999999</c:v>
                </c:pt>
                <c:pt idx="58">
                  <c:v>32.185937500000001</c:v>
                </c:pt>
                <c:pt idx="59">
                  <c:v>32.237499999999997</c:v>
                </c:pt>
                <c:pt idx="60">
                  <c:v>32.2890625</c:v>
                </c:pt>
                <c:pt idx="61">
                  <c:v>32.340625000000003</c:v>
                </c:pt>
                <c:pt idx="62">
                  <c:v>32.392187499999999</c:v>
                </c:pt>
                <c:pt idx="63">
                  <c:v>32.443750000000001</c:v>
                </c:pt>
                <c:pt idx="64">
                  <c:v>32.495312499999997</c:v>
                </c:pt>
                <c:pt idx="65">
                  <c:v>32.546875</c:v>
                </c:pt>
                <c:pt idx="66">
                  <c:v>32.598437500000003</c:v>
                </c:pt>
                <c:pt idx="67">
                  <c:v>32.65</c:v>
                </c:pt>
              </c:numCache>
            </c:numRef>
          </c:xVal>
          <c:yVal>
            <c:numRef>
              <c:f>ENVELOPE!$B$3:$B$70</c:f>
              <c:numCache>
                <c:formatCode>0</c:formatCode>
                <c:ptCount val="68"/>
                <c:pt idx="0">
                  <c:v>1000</c:v>
                </c:pt>
                <c:pt idx="1">
                  <c:v>1010</c:v>
                </c:pt>
                <c:pt idx="2">
                  <c:v>1020</c:v>
                </c:pt>
                <c:pt idx="3">
                  <c:v>1030</c:v>
                </c:pt>
                <c:pt idx="4">
                  <c:v>1040</c:v>
                </c:pt>
                <c:pt idx="5">
                  <c:v>1050</c:v>
                </c:pt>
                <c:pt idx="6">
                  <c:v>1060</c:v>
                </c:pt>
                <c:pt idx="7">
                  <c:v>1070</c:v>
                </c:pt>
                <c:pt idx="8">
                  <c:v>1080</c:v>
                </c:pt>
                <c:pt idx="9">
                  <c:v>1090</c:v>
                </c:pt>
                <c:pt idx="10">
                  <c:v>1100</c:v>
                </c:pt>
                <c:pt idx="11">
                  <c:v>1110</c:v>
                </c:pt>
                <c:pt idx="12">
                  <c:v>1120</c:v>
                </c:pt>
                <c:pt idx="13">
                  <c:v>1130</c:v>
                </c:pt>
                <c:pt idx="14">
                  <c:v>1140</c:v>
                </c:pt>
                <c:pt idx="15">
                  <c:v>1150</c:v>
                </c:pt>
                <c:pt idx="16">
                  <c:v>1160</c:v>
                </c:pt>
                <c:pt idx="17">
                  <c:v>1170</c:v>
                </c:pt>
                <c:pt idx="18">
                  <c:v>1180</c:v>
                </c:pt>
                <c:pt idx="19">
                  <c:v>1190</c:v>
                </c:pt>
                <c:pt idx="20">
                  <c:v>1200</c:v>
                </c:pt>
                <c:pt idx="21">
                  <c:v>1210</c:v>
                </c:pt>
                <c:pt idx="22">
                  <c:v>1220</c:v>
                </c:pt>
                <c:pt idx="23">
                  <c:v>1230</c:v>
                </c:pt>
                <c:pt idx="24">
                  <c:v>1240</c:v>
                </c:pt>
                <c:pt idx="25">
                  <c:v>1250</c:v>
                </c:pt>
                <c:pt idx="26">
                  <c:v>1260</c:v>
                </c:pt>
                <c:pt idx="27">
                  <c:v>1270</c:v>
                </c:pt>
                <c:pt idx="28">
                  <c:v>1280</c:v>
                </c:pt>
                <c:pt idx="29">
                  <c:v>1290</c:v>
                </c:pt>
                <c:pt idx="30">
                  <c:v>1300</c:v>
                </c:pt>
                <c:pt idx="31">
                  <c:v>1310</c:v>
                </c:pt>
                <c:pt idx="32">
                  <c:v>1320</c:v>
                </c:pt>
                <c:pt idx="33">
                  <c:v>1330</c:v>
                </c:pt>
                <c:pt idx="34">
                  <c:v>1340</c:v>
                </c:pt>
                <c:pt idx="35">
                  <c:v>1350</c:v>
                </c:pt>
                <c:pt idx="36">
                  <c:v>1360</c:v>
                </c:pt>
                <c:pt idx="37">
                  <c:v>1370</c:v>
                </c:pt>
                <c:pt idx="38">
                  <c:v>1380</c:v>
                </c:pt>
                <c:pt idx="39">
                  <c:v>1390</c:v>
                </c:pt>
                <c:pt idx="40">
                  <c:v>1400</c:v>
                </c:pt>
                <c:pt idx="41">
                  <c:v>1410</c:v>
                </c:pt>
                <c:pt idx="42">
                  <c:v>1420</c:v>
                </c:pt>
                <c:pt idx="43">
                  <c:v>1430</c:v>
                </c:pt>
                <c:pt idx="44">
                  <c:v>1440</c:v>
                </c:pt>
                <c:pt idx="45">
                  <c:v>1450</c:v>
                </c:pt>
                <c:pt idx="46">
                  <c:v>1460</c:v>
                </c:pt>
                <c:pt idx="47">
                  <c:v>1470</c:v>
                </c:pt>
                <c:pt idx="48">
                  <c:v>1480</c:v>
                </c:pt>
                <c:pt idx="49">
                  <c:v>1490</c:v>
                </c:pt>
                <c:pt idx="50">
                  <c:v>1500</c:v>
                </c:pt>
                <c:pt idx="51">
                  <c:v>1510</c:v>
                </c:pt>
                <c:pt idx="52">
                  <c:v>1520</c:v>
                </c:pt>
                <c:pt idx="53">
                  <c:v>1530</c:v>
                </c:pt>
                <c:pt idx="54">
                  <c:v>1540</c:v>
                </c:pt>
                <c:pt idx="55">
                  <c:v>1550</c:v>
                </c:pt>
                <c:pt idx="56">
                  <c:v>1560</c:v>
                </c:pt>
                <c:pt idx="57">
                  <c:v>1570</c:v>
                </c:pt>
                <c:pt idx="58">
                  <c:v>1580</c:v>
                </c:pt>
                <c:pt idx="59">
                  <c:v>1590</c:v>
                </c:pt>
                <c:pt idx="60">
                  <c:v>1600</c:v>
                </c:pt>
                <c:pt idx="61">
                  <c:v>1610</c:v>
                </c:pt>
                <c:pt idx="62">
                  <c:v>1620</c:v>
                </c:pt>
                <c:pt idx="63">
                  <c:v>1630</c:v>
                </c:pt>
                <c:pt idx="64">
                  <c:v>1640</c:v>
                </c:pt>
                <c:pt idx="65">
                  <c:v>1650</c:v>
                </c:pt>
                <c:pt idx="66">
                  <c:v>1660</c:v>
                </c:pt>
                <c:pt idx="67">
                  <c:v>1670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942-4A85-B204-E443ACF5D9F5}"/>
            </c:ext>
          </c:extLst>
        </c:ser>
        <c:ser>
          <c:idx val="2"/>
          <c:order val="1"/>
          <c:tx>
            <c:v>NORMAL AFT LIMIT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ENVELOPE!$D$3:$D$70</c:f>
              <c:numCache>
                <c:formatCode>0.00</c:formatCode>
                <c:ptCount val="68"/>
                <c:pt idx="0">
                  <c:v>36.5</c:v>
                </c:pt>
                <c:pt idx="1">
                  <c:v>36.5</c:v>
                </c:pt>
                <c:pt idx="2">
                  <c:v>36.5</c:v>
                </c:pt>
                <c:pt idx="3">
                  <c:v>36.5</c:v>
                </c:pt>
                <c:pt idx="4">
                  <c:v>36.5</c:v>
                </c:pt>
                <c:pt idx="5">
                  <c:v>36.5</c:v>
                </c:pt>
                <c:pt idx="6">
                  <c:v>36.5</c:v>
                </c:pt>
                <c:pt idx="7">
                  <c:v>36.5</c:v>
                </c:pt>
                <c:pt idx="8">
                  <c:v>36.5</c:v>
                </c:pt>
                <c:pt idx="9">
                  <c:v>36.5</c:v>
                </c:pt>
                <c:pt idx="10">
                  <c:v>36.5</c:v>
                </c:pt>
                <c:pt idx="11">
                  <c:v>36.5</c:v>
                </c:pt>
                <c:pt idx="12">
                  <c:v>36.5</c:v>
                </c:pt>
                <c:pt idx="13">
                  <c:v>36.5</c:v>
                </c:pt>
                <c:pt idx="14">
                  <c:v>36.5</c:v>
                </c:pt>
                <c:pt idx="15">
                  <c:v>36.5</c:v>
                </c:pt>
                <c:pt idx="16">
                  <c:v>36.5</c:v>
                </c:pt>
                <c:pt idx="17">
                  <c:v>36.5</c:v>
                </c:pt>
                <c:pt idx="18">
                  <c:v>36.5</c:v>
                </c:pt>
                <c:pt idx="19">
                  <c:v>36.5</c:v>
                </c:pt>
                <c:pt idx="20">
                  <c:v>36.5</c:v>
                </c:pt>
                <c:pt idx="21">
                  <c:v>36.5</c:v>
                </c:pt>
                <c:pt idx="22">
                  <c:v>36.5</c:v>
                </c:pt>
                <c:pt idx="23">
                  <c:v>36.5</c:v>
                </c:pt>
                <c:pt idx="24">
                  <c:v>36.5</c:v>
                </c:pt>
                <c:pt idx="25">
                  <c:v>36.5</c:v>
                </c:pt>
                <c:pt idx="26">
                  <c:v>36.5</c:v>
                </c:pt>
                <c:pt idx="27">
                  <c:v>36.5</c:v>
                </c:pt>
                <c:pt idx="28">
                  <c:v>36.5</c:v>
                </c:pt>
                <c:pt idx="29">
                  <c:v>36.5</c:v>
                </c:pt>
                <c:pt idx="30">
                  <c:v>36.5</c:v>
                </c:pt>
                <c:pt idx="31">
                  <c:v>36.5</c:v>
                </c:pt>
                <c:pt idx="32">
                  <c:v>36.5</c:v>
                </c:pt>
                <c:pt idx="33">
                  <c:v>36.5</c:v>
                </c:pt>
                <c:pt idx="34">
                  <c:v>36.5</c:v>
                </c:pt>
                <c:pt idx="35">
                  <c:v>36.5</c:v>
                </c:pt>
                <c:pt idx="36">
                  <c:v>36.5</c:v>
                </c:pt>
                <c:pt idx="37">
                  <c:v>36.5</c:v>
                </c:pt>
                <c:pt idx="38">
                  <c:v>36.5</c:v>
                </c:pt>
                <c:pt idx="39">
                  <c:v>36.5</c:v>
                </c:pt>
                <c:pt idx="40">
                  <c:v>36.5</c:v>
                </c:pt>
                <c:pt idx="41">
                  <c:v>36.5</c:v>
                </c:pt>
                <c:pt idx="42">
                  <c:v>36.5</c:v>
                </c:pt>
                <c:pt idx="43">
                  <c:v>36.5</c:v>
                </c:pt>
                <c:pt idx="44">
                  <c:v>36.5</c:v>
                </c:pt>
                <c:pt idx="45">
                  <c:v>36.5</c:v>
                </c:pt>
                <c:pt idx="46">
                  <c:v>36.5</c:v>
                </c:pt>
                <c:pt idx="47">
                  <c:v>36.5</c:v>
                </c:pt>
                <c:pt idx="48">
                  <c:v>36.5</c:v>
                </c:pt>
                <c:pt idx="49">
                  <c:v>36.5</c:v>
                </c:pt>
                <c:pt idx="50">
                  <c:v>36.5</c:v>
                </c:pt>
                <c:pt idx="51">
                  <c:v>36.5</c:v>
                </c:pt>
                <c:pt idx="52">
                  <c:v>36.5</c:v>
                </c:pt>
                <c:pt idx="53">
                  <c:v>36.5</c:v>
                </c:pt>
                <c:pt idx="54">
                  <c:v>36.5</c:v>
                </c:pt>
                <c:pt idx="55">
                  <c:v>36.5</c:v>
                </c:pt>
                <c:pt idx="56">
                  <c:v>36.5</c:v>
                </c:pt>
                <c:pt idx="57">
                  <c:v>36.5</c:v>
                </c:pt>
                <c:pt idx="58">
                  <c:v>36.5</c:v>
                </c:pt>
                <c:pt idx="59">
                  <c:v>36.5</c:v>
                </c:pt>
                <c:pt idx="60">
                  <c:v>36.5</c:v>
                </c:pt>
                <c:pt idx="61">
                  <c:v>36.5</c:v>
                </c:pt>
                <c:pt idx="62">
                  <c:v>36.5</c:v>
                </c:pt>
                <c:pt idx="63">
                  <c:v>36.5</c:v>
                </c:pt>
                <c:pt idx="64">
                  <c:v>36.5</c:v>
                </c:pt>
                <c:pt idx="65">
                  <c:v>36.5</c:v>
                </c:pt>
                <c:pt idx="66">
                  <c:v>36.5</c:v>
                </c:pt>
                <c:pt idx="67">
                  <c:v>36.5</c:v>
                </c:pt>
              </c:numCache>
            </c:numRef>
          </c:xVal>
          <c:yVal>
            <c:numRef>
              <c:f>ENVELOPE!$B$3:$B$70</c:f>
              <c:numCache>
                <c:formatCode>0</c:formatCode>
                <c:ptCount val="68"/>
                <c:pt idx="0">
                  <c:v>1000</c:v>
                </c:pt>
                <c:pt idx="1">
                  <c:v>1010</c:v>
                </c:pt>
                <c:pt idx="2">
                  <c:v>1020</c:v>
                </c:pt>
                <c:pt idx="3">
                  <c:v>1030</c:v>
                </c:pt>
                <c:pt idx="4">
                  <c:v>1040</c:v>
                </c:pt>
                <c:pt idx="5">
                  <c:v>1050</c:v>
                </c:pt>
                <c:pt idx="6">
                  <c:v>1060</c:v>
                </c:pt>
                <c:pt idx="7">
                  <c:v>1070</c:v>
                </c:pt>
                <c:pt idx="8">
                  <c:v>1080</c:v>
                </c:pt>
                <c:pt idx="9">
                  <c:v>1090</c:v>
                </c:pt>
                <c:pt idx="10">
                  <c:v>1100</c:v>
                </c:pt>
                <c:pt idx="11">
                  <c:v>1110</c:v>
                </c:pt>
                <c:pt idx="12">
                  <c:v>1120</c:v>
                </c:pt>
                <c:pt idx="13">
                  <c:v>1130</c:v>
                </c:pt>
                <c:pt idx="14">
                  <c:v>1140</c:v>
                </c:pt>
                <c:pt idx="15">
                  <c:v>1150</c:v>
                </c:pt>
                <c:pt idx="16">
                  <c:v>1160</c:v>
                </c:pt>
                <c:pt idx="17">
                  <c:v>1170</c:v>
                </c:pt>
                <c:pt idx="18">
                  <c:v>1180</c:v>
                </c:pt>
                <c:pt idx="19">
                  <c:v>1190</c:v>
                </c:pt>
                <c:pt idx="20">
                  <c:v>1200</c:v>
                </c:pt>
                <c:pt idx="21">
                  <c:v>1210</c:v>
                </c:pt>
                <c:pt idx="22">
                  <c:v>1220</c:v>
                </c:pt>
                <c:pt idx="23">
                  <c:v>1230</c:v>
                </c:pt>
                <c:pt idx="24">
                  <c:v>1240</c:v>
                </c:pt>
                <c:pt idx="25">
                  <c:v>1250</c:v>
                </c:pt>
                <c:pt idx="26">
                  <c:v>1260</c:v>
                </c:pt>
                <c:pt idx="27">
                  <c:v>1270</c:v>
                </c:pt>
                <c:pt idx="28">
                  <c:v>1280</c:v>
                </c:pt>
                <c:pt idx="29">
                  <c:v>1290</c:v>
                </c:pt>
                <c:pt idx="30">
                  <c:v>1300</c:v>
                </c:pt>
                <c:pt idx="31">
                  <c:v>1310</c:v>
                </c:pt>
                <c:pt idx="32">
                  <c:v>1320</c:v>
                </c:pt>
                <c:pt idx="33">
                  <c:v>1330</c:v>
                </c:pt>
                <c:pt idx="34">
                  <c:v>1340</c:v>
                </c:pt>
                <c:pt idx="35">
                  <c:v>1350</c:v>
                </c:pt>
                <c:pt idx="36">
                  <c:v>1360</c:v>
                </c:pt>
                <c:pt idx="37">
                  <c:v>1370</c:v>
                </c:pt>
                <c:pt idx="38">
                  <c:v>1380</c:v>
                </c:pt>
                <c:pt idx="39">
                  <c:v>1390</c:v>
                </c:pt>
                <c:pt idx="40">
                  <c:v>1400</c:v>
                </c:pt>
                <c:pt idx="41">
                  <c:v>1410</c:v>
                </c:pt>
                <c:pt idx="42">
                  <c:v>1420</c:v>
                </c:pt>
                <c:pt idx="43">
                  <c:v>1430</c:v>
                </c:pt>
                <c:pt idx="44">
                  <c:v>1440</c:v>
                </c:pt>
                <c:pt idx="45">
                  <c:v>1450</c:v>
                </c:pt>
                <c:pt idx="46">
                  <c:v>1460</c:v>
                </c:pt>
                <c:pt idx="47">
                  <c:v>1470</c:v>
                </c:pt>
                <c:pt idx="48">
                  <c:v>1480</c:v>
                </c:pt>
                <c:pt idx="49">
                  <c:v>1490</c:v>
                </c:pt>
                <c:pt idx="50">
                  <c:v>1500</c:v>
                </c:pt>
                <c:pt idx="51">
                  <c:v>1510</c:v>
                </c:pt>
                <c:pt idx="52">
                  <c:v>1520</c:v>
                </c:pt>
                <c:pt idx="53">
                  <c:v>1530</c:v>
                </c:pt>
                <c:pt idx="54">
                  <c:v>1540</c:v>
                </c:pt>
                <c:pt idx="55">
                  <c:v>1550</c:v>
                </c:pt>
                <c:pt idx="56">
                  <c:v>1560</c:v>
                </c:pt>
                <c:pt idx="57">
                  <c:v>1570</c:v>
                </c:pt>
                <c:pt idx="58">
                  <c:v>1580</c:v>
                </c:pt>
                <c:pt idx="59">
                  <c:v>1590</c:v>
                </c:pt>
                <c:pt idx="60">
                  <c:v>1600</c:v>
                </c:pt>
                <c:pt idx="61">
                  <c:v>1610</c:v>
                </c:pt>
                <c:pt idx="62">
                  <c:v>1620</c:v>
                </c:pt>
                <c:pt idx="63">
                  <c:v>1630</c:v>
                </c:pt>
                <c:pt idx="64">
                  <c:v>1640</c:v>
                </c:pt>
                <c:pt idx="65">
                  <c:v>1650</c:v>
                </c:pt>
                <c:pt idx="66">
                  <c:v>1660</c:v>
                </c:pt>
                <c:pt idx="67">
                  <c:v>1670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942-4A85-B204-E443ACF5D9F5}"/>
            </c:ext>
          </c:extLst>
        </c:ser>
        <c:ser>
          <c:idx val="3"/>
          <c:order val="2"/>
          <c:tx>
            <c:v>NORMAL MAX GROSS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ENVELOPE!$J$6:$J$7</c:f>
              <c:numCache>
                <c:formatCode>0.00</c:formatCode>
                <c:ptCount val="2"/>
                <c:pt idx="0">
                  <c:v>32.65</c:v>
                </c:pt>
                <c:pt idx="1">
                  <c:v>36.5</c:v>
                </c:pt>
              </c:numCache>
            </c:numRef>
          </c:xVal>
          <c:yVal>
            <c:numRef>
              <c:f>ENVELOPE!$I$6:$I$7</c:f>
              <c:numCache>
                <c:formatCode>General</c:formatCode>
                <c:ptCount val="2"/>
                <c:pt idx="0">
                  <c:v>1670</c:v>
                </c:pt>
                <c:pt idx="1">
                  <c:v>1670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942-4A85-B204-E443ACF5D9F5}"/>
            </c:ext>
          </c:extLst>
        </c:ser>
        <c:ser>
          <c:idx val="5"/>
          <c:order val="3"/>
          <c:tx>
            <c:v>MAX LANDING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96.1</c:v>
              </c:pt>
              <c:pt idx="1">
                <c:v>102</c:v>
              </c:pt>
            </c:numLit>
          </c:xVal>
          <c:yVal>
            <c:numLit>
              <c:formatCode>General</c:formatCode>
              <c:ptCount val="2"/>
              <c:pt idx="0">
                <c:v>2407</c:v>
              </c:pt>
              <c:pt idx="1">
                <c:v>2407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E942-4A85-B204-E443ACF5D9F5}"/>
            </c:ext>
          </c:extLst>
        </c:ser>
        <c:ser>
          <c:idx val="4"/>
          <c:order val="4"/>
          <c:tx>
            <c:v>CG MOVEMENT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ENVELOPE!$H$24:$H$30</c:f>
              <c:numCache>
                <c:formatCode>0.00</c:formatCode>
                <c:ptCount val="7"/>
                <c:pt idx="0">
                  <c:v>30.02</c:v>
                </c:pt>
                <c:pt idx="1">
                  <c:v>30.020000000000003</c:v>
                </c:pt>
                <c:pt idx="2">
                  <c:v>30.166077655879221</c:v>
                </c:pt>
                <c:pt idx="3">
                  <c:v>30.396515307170745</c:v>
                </c:pt>
                <c:pt idx="4">
                  <c:v>31.713229309243545</c:v>
                </c:pt>
                <c:pt idx="5">
                  <c:v>31.674900631925997</c:v>
                </c:pt>
                <c:pt idx="6">
                  <c:v>31.378231471890004</c:v>
                </c:pt>
              </c:numCache>
            </c:numRef>
          </c:xVal>
          <c:yVal>
            <c:numRef>
              <c:f>ENVELOPE!$G$24:$G$30</c:f>
              <c:numCache>
                <c:formatCode>0.00</c:formatCode>
                <c:ptCount val="7"/>
                <c:pt idx="0">
                  <c:v>1158.08</c:v>
                </c:pt>
                <c:pt idx="1">
                  <c:v>1158.08</c:v>
                </c:pt>
                <c:pt idx="2">
                  <c:v>1163.08</c:v>
                </c:pt>
                <c:pt idx="3">
                  <c:v>1168.08</c:v>
                </c:pt>
                <c:pt idx="4">
                  <c:v>1315.08</c:v>
                </c:pt>
                <c:pt idx="5">
                  <c:v>1310.28</c:v>
                </c:pt>
                <c:pt idx="6">
                  <c:v>1274.28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942-4A85-B204-E443ACF5D9F5}"/>
            </c:ext>
          </c:extLst>
        </c:ser>
        <c:ser>
          <c:idx val="9"/>
          <c:order val="5"/>
          <c:tx>
            <c:v>Basic Empty Weight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ash"/>
            <c:size val="2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ENVELOPE!$H$24</c:f>
              <c:numCache>
                <c:formatCode>0.00</c:formatCode>
                <c:ptCount val="1"/>
                <c:pt idx="0">
                  <c:v>30.02</c:v>
                </c:pt>
              </c:numCache>
            </c:numRef>
          </c:xVal>
          <c:yVal>
            <c:numRef>
              <c:f>ENVELOPE!$G$24</c:f>
              <c:numCache>
                <c:formatCode>0.00</c:formatCode>
                <c:ptCount val="1"/>
                <c:pt idx="0">
                  <c:v>1158.08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942-4A85-B204-E443ACF5D9F5}"/>
            </c:ext>
          </c:extLst>
        </c:ser>
        <c:ser>
          <c:idx val="10"/>
          <c:order val="6"/>
          <c:tx>
            <c:v>Pilot + Front Pax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ENVELOPE!$H$25</c:f>
              <c:numCache>
                <c:formatCode>0.00</c:formatCode>
                <c:ptCount val="1"/>
                <c:pt idx="0">
                  <c:v>30.020000000000003</c:v>
                </c:pt>
              </c:numCache>
            </c:numRef>
          </c:xVal>
          <c:yVal>
            <c:numRef>
              <c:f>ENVELOPE!$G$25</c:f>
              <c:numCache>
                <c:formatCode>0.00</c:formatCode>
                <c:ptCount val="1"/>
                <c:pt idx="0">
                  <c:v>1158.08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942-4A85-B204-E443ACF5D9F5}"/>
            </c:ext>
          </c:extLst>
        </c:ser>
        <c:ser>
          <c:idx val="12"/>
          <c:order val="8"/>
          <c:tx>
            <c:v>Baggage Area A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ENVELOPE!$H$26</c:f>
              <c:numCache>
                <c:formatCode>0.00</c:formatCode>
                <c:ptCount val="1"/>
                <c:pt idx="0">
                  <c:v>30.166077655879221</c:v>
                </c:pt>
              </c:numCache>
            </c:numRef>
          </c:xVal>
          <c:yVal>
            <c:numRef>
              <c:f>ENVELOPE!$G$26</c:f>
              <c:numCache>
                <c:formatCode>0.00</c:formatCode>
                <c:ptCount val="1"/>
                <c:pt idx="0">
                  <c:v>1163.08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942-4A85-B204-E443ACF5D9F5}"/>
            </c:ext>
          </c:extLst>
        </c:ser>
        <c:ser>
          <c:idx val="15"/>
          <c:order val="9"/>
          <c:tx>
            <c:v>Baggage Area B</c:v>
          </c:tx>
          <c:marker>
            <c:symbol val="diamond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en-US"/>
              </a:p>
            </c:txPr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ENVELOPE!$H$27</c:f>
              <c:numCache>
                <c:formatCode>0.00</c:formatCode>
                <c:ptCount val="1"/>
                <c:pt idx="0">
                  <c:v>30.396515307170745</c:v>
                </c:pt>
              </c:numCache>
            </c:numRef>
          </c:xVal>
          <c:yVal>
            <c:numRef>
              <c:f>ENVELOPE!$G$27</c:f>
              <c:numCache>
                <c:formatCode>0.00</c:formatCode>
                <c:ptCount val="1"/>
                <c:pt idx="0">
                  <c:v>1168.08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E942-4A85-B204-E443ACF5D9F5}"/>
            </c:ext>
          </c:extLst>
        </c:ser>
        <c:ser>
          <c:idx val="13"/>
          <c:order val="10"/>
          <c:tx>
            <c:v>Fuel Load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ENVELOPE!$H$28</c:f>
              <c:numCache>
                <c:formatCode>0.00</c:formatCode>
                <c:ptCount val="1"/>
                <c:pt idx="0">
                  <c:v>31.713229309243545</c:v>
                </c:pt>
              </c:numCache>
            </c:numRef>
          </c:xVal>
          <c:yVal>
            <c:numRef>
              <c:f>ENVELOPE!$G$28</c:f>
              <c:numCache>
                <c:formatCode>0.00</c:formatCode>
                <c:ptCount val="1"/>
                <c:pt idx="0">
                  <c:v>1315.08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E942-4A85-B204-E443ACF5D9F5}"/>
            </c:ext>
          </c:extLst>
        </c:ser>
        <c:ser>
          <c:idx val="14"/>
          <c:order val="11"/>
          <c:tx>
            <c:v>T/O Condition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ENVELOPE!$H$29</c:f>
              <c:numCache>
                <c:formatCode>0.00</c:formatCode>
                <c:ptCount val="1"/>
                <c:pt idx="0">
                  <c:v>31.674900631925997</c:v>
                </c:pt>
              </c:numCache>
            </c:numRef>
          </c:xVal>
          <c:yVal>
            <c:numRef>
              <c:f>ENVELOPE!$G$29</c:f>
              <c:numCache>
                <c:formatCode>0.00</c:formatCode>
                <c:ptCount val="1"/>
                <c:pt idx="0">
                  <c:v>1310.28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E942-4A85-B204-E443ACF5D9F5}"/>
            </c:ext>
          </c:extLst>
        </c:ser>
        <c:ser>
          <c:idx val="8"/>
          <c:order val="12"/>
          <c:tx>
            <c:v>Landing Condition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1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E942-4A85-B204-E443ACF5D9F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FF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ENVELOPE!$H$30</c:f>
              <c:numCache>
                <c:formatCode>0.00</c:formatCode>
                <c:ptCount val="1"/>
                <c:pt idx="0">
                  <c:v>31.378231471890004</c:v>
                </c:pt>
              </c:numCache>
            </c:numRef>
          </c:xVal>
          <c:yVal>
            <c:numRef>
              <c:f>ENVELOPE!$G$30</c:f>
              <c:numCache>
                <c:formatCode>0.00</c:formatCode>
                <c:ptCount val="1"/>
                <c:pt idx="0">
                  <c:v>1274.28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E942-4A85-B204-E443ACF5D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96539536"/>
        <c:axId val="-296531376"/>
        <c:extLst>
          <c:ext xmlns:c15="http://schemas.microsoft.com/office/drawing/2012/chart" uri="{02D57815-91ED-43cb-92C2-25804820EDAC}">
            <c15:filteredScatterSeries>
              <c15:ser>
                <c:idx val="11"/>
                <c:order val="7"/>
                <c:tx>
                  <c:v>Rear Seat Occupants</c:v>
                </c:tx>
                <c:spPr>
                  <a:ln w="12700">
                    <a:solidFill>
                      <a:srgbClr val="FFFF99"/>
                    </a:solidFill>
                    <a:prstDash val="solid"/>
                  </a:ln>
                </c:spPr>
                <c:marker>
                  <c:symbol val="diamond"/>
                  <c:size val="8"/>
                  <c:spPr>
                    <a:solidFill>
                      <a:srgbClr val="0070C0"/>
                    </a:solidFill>
                    <a:ln>
                      <a:solidFill>
                        <a:srgbClr val="0070C0"/>
                      </a:solidFill>
                      <a:prstDash val="solid"/>
                    </a:ln>
                  </c:spPr>
                </c:marker>
                <c:dLbls>
                  <c:spPr>
                    <a:noFill/>
                    <a:ln w="25400">
                      <a:noFill/>
                    </a:ln>
                  </c:spPr>
                  <c:txPr>
                    <a:bodyPr/>
                    <a:lstStyle/>
                    <a:p>
                      <a:pPr>
                        <a:defRPr sz="600" b="0" i="0" u="none" strike="noStrike" baseline="0">
                          <a:solidFill>
                            <a:srgbClr val="0070C0"/>
                          </a:solidFill>
                          <a:latin typeface="Arial"/>
                          <a:ea typeface="Arial"/>
                          <a:cs typeface="Arial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1"/>
                  <c:showSerName val="1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ENVELOPE!#REF!</c15:sqref>
                        </c15:formulaRef>
                      </c:ext>
                    </c:extLst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ENVELOPE!#REF!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D-E942-4A85-B204-E443ACF5D9F5}"/>
                  </c:ext>
                </c:extLst>
              </c15:ser>
            </c15:filteredScatterSeries>
          </c:ext>
        </c:extLst>
      </c:scatterChart>
      <c:valAx>
        <c:axId val="-296539536"/>
        <c:scaling>
          <c:orientation val="minMax"/>
          <c:max val="37"/>
          <c:min val="29.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AIRPLANE C.G. LOCATION - INCHES AFT OF DATUM (STA. 0.0)</a:t>
                </a:r>
              </a:p>
            </c:rich>
          </c:tx>
          <c:layout>
            <c:manualLayout>
              <c:xMode val="edge"/>
              <c:yMode val="edge"/>
              <c:x val="0.24693538526598383"/>
              <c:y val="0.9309474392624004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96531376"/>
        <c:crossesAt val="1700"/>
        <c:crossBetween val="midCat"/>
        <c:majorUnit val="1"/>
        <c:minorUnit val="0.1"/>
      </c:valAx>
      <c:valAx>
        <c:axId val="-296531376"/>
        <c:scaling>
          <c:orientation val="minMax"/>
          <c:max val="1700"/>
          <c:min val="1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AIRPLANE WEIGHT (POUNDS)   </a:t>
                </a:r>
              </a:p>
            </c:rich>
          </c:tx>
          <c:layout>
            <c:manualLayout>
              <c:xMode val="edge"/>
              <c:yMode val="edge"/>
              <c:x val="1.4227652366571517E-2"/>
              <c:y val="0.2400005383942392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96539536"/>
        <c:crossesAt val="81"/>
        <c:crossBetween val="midCat"/>
        <c:majorUnit val="5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5" r="0.5" t="1" header="0.5" footer="0.5"/>
    <c:pageSetup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CENTER OF GRAVITY LIMITS</a:t>
            </a:r>
          </a:p>
        </c:rich>
      </c:tx>
      <c:layout>
        <c:manualLayout>
          <c:xMode val="edge"/>
          <c:yMode val="edge"/>
          <c:x val="0.33800350262697032"/>
          <c:y val="3.333333333333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565749136100685E-2"/>
          <c:y val="0.1125321098396912"/>
          <c:w val="0.88091143630917335"/>
          <c:h val="0.76470683731972089"/>
        </c:manualLayout>
      </c:layout>
      <c:scatterChart>
        <c:scatterStyle val="smoothMarker"/>
        <c:varyColors val="0"/>
        <c:ser>
          <c:idx val="1"/>
          <c:order val="0"/>
          <c:tx>
            <c:v>NORMAL FWD LIMIT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ENVELOPE!$C$3:$C$70</c:f>
              <c:numCache>
                <c:formatCode>0.00</c:formatCode>
                <c:ptCount val="68"/>
                <c:pt idx="0">
                  <c:v>31</c:v>
                </c:pt>
                <c:pt idx="1">
                  <c:v>31</c:v>
                </c:pt>
                <c:pt idx="2">
                  <c:v>31</c:v>
                </c:pt>
                <c:pt idx="3">
                  <c:v>31</c:v>
                </c:pt>
                <c:pt idx="4">
                  <c:v>31</c:v>
                </c:pt>
                <c:pt idx="5">
                  <c:v>31</c:v>
                </c:pt>
                <c:pt idx="6">
                  <c:v>31</c:v>
                </c:pt>
                <c:pt idx="7">
                  <c:v>31</c:v>
                </c:pt>
                <c:pt idx="8">
                  <c:v>31</c:v>
                </c:pt>
                <c:pt idx="9">
                  <c:v>31</c:v>
                </c:pt>
                <c:pt idx="10">
                  <c:v>31</c:v>
                </c:pt>
                <c:pt idx="11">
                  <c:v>31</c:v>
                </c:pt>
                <c:pt idx="12">
                  <c:v>31</c:v>
                </c:pt>
                <c:pt idx="13">
                  <c:v>31</c:v>
                </c:pt>
                <c:pt idx="14">
                  <c:v>31</c:v>
                </c:pt>
                <c:pt idx="15">
                  <c:v>31</c:v>
                </c:pt>
                <c:pt idx="16">
                  <c:v>31</c:v>
                </c:pt>
                <c:pt idx="17">
                  <c:v>31</c:v>
                </c:pt>
                <c:pt idx="18">
                  <c:v>31</c:v>
                </c:pt>
                <c:pt idx="19">
                  <c:v>31</c:v>
                </c:pt>
                <c:pt idx="20">
                  <c:v>31</c:v>
                </c:pt>
                <c:pt idx="21">
                  <c:v>31</c:v>
                </c:pt>
                <c:pt idx="22">
                  <c:v>31</c:v>
                </c:pt>
                <c:pt idx="23">
                  <c:v>31</c:v>
                </c:pt>
                <c:pt idx="24">
                  <c:v>31</c:v>
                </c:pt>
                <c:pt idx="25">
                  <c:v>31</c:v>
                </c:pt>
                <c:pt idx="26">
                  <c:v>31</c:v>
                </c:pt>
                <c:pt idx="27">
                  <c:v>31</c:v>
                </c:pt>
                <c:pt idx="28">
                  <c:v>31</c:v>
                </c:pt>
                <c:pt idx="29">
                  <c:v>31</c:v>
                </c:pt>
                <c:pt idx="30">
                  <c:v>31</c:v>
                </c:pt>
                <c:pt idx="31">
                  <c:v>31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31</c:v>
                </c:pt>
                <c:pt idx="36">
                  <c:v>31.051562499999999</c:v>
                </c:pt>
                <c:pt idx="37">
                  <c:v>31.103124999999999</c:v>
                </c:pt>
                <c:pt idx="38">
                  <c:v>31.154687500000001</c:v>
                </c:pt>
                <c:pt idx="39">
                  <c:v>31.206250000000001</c:v>
                </c:pt>
                <c:pt idx="40">
                  <c:v>31.2578125</c:v>
                </c:pt>
                <c:pt idx="41">
                  <c:v>31.309374999999999</c:v>
                </c:pt>
                <c:pt idx="42">
                  <c:v>31.360937499999999</c:v>
                </c:pt>
                <c:pt idx="43">
                  <c:v>31.412500000000001</c:v>
                </c:pt>
                <c:pt idx="44">
                  <c:v>31.464062500000001</c:v>
                </c:pt>
                <c:pt idx="45">
                  <c:v>31.515625</c:v>
                </c:pt>
                <c:pt idx="46">
                  <c:v>31.567187499999999</c:v>
                </c:pt>
                <c:pt idx="47">
                  <c:v>31.618749999999999</c:v>
                </c:pt>
                <c:pt idx="48">
                  <c:v>31.670312500000001</c:v>
                </c:pt>
                <c:pt idx="49">
                  <c:v>31.721875000000001</c:v>
                </c:pt>
                <c:pt idx="50">
                  <c:v>31.7734375</c:v>
                </c:pt>
                <c:pt idx="51">
                  <c:v>31.824999999999999</c:v>
                </c:pt>
                <c:pt idx="52">
                  <c:v>31.876562499999999</c:v>
                </c:pt>
                <c:pt idx="53">
                  <c:v>31.928125000000001</c:v>
                </c:pt>
                <c:pt idx="54">
                  <c:v>31.979687500000001</c:v>
                </c:pt>
                <c:pt idx="55">
                  <c:v>32.03125</c:v>
                </c:pt>
                <c:pt idx="56">
                  <c:v>32.082812500000003</c:v>
                </c:pt>
                <c:pt idx="57">
                  <c:v>32.134374999999999</c:v>
                </c:pt>
                <c:pt idx="58">
                  <c:v>32.185937500000001</c:v>
                </c:pt>
                <c:pt idx="59">
                  <c:v>32.237499999999997</c:v>
                </c:pt>
                <c:pt idx="60">
                  <c:v>32.2890625</c:v>
                </c:pt>
                <c:pt idx="61">
                  <c:v>32.340625000000003</c:v>
                </c:pt>
                <c:pt idx="62">
                  <c:v>32.392187499999999</c:v>
                </c:pt>
                <c:pt idx="63">
                  <c:v>32.443750000000001</c:v>
                </c:pt>
                <c:pt idx="64">
                  <c:v>32.495312499999997</c:v>
                </c:pt>
                <c:pt idx="65">
                  <c:v>32.546875</c:v>
                </c:pt>
                <c:pt idx="66">
                  <c:v>32.598437500000003</c:v>
                </c:pt>
                <c:pt idx="67">
                  <c:v>32.65</c:v>
                </c:pt>
              </c:numCache>
            </c:numRef>
          </c:xVal>
          <c:yVal>
            <c:numRef>
              <c:f>ENVELOPE!$B$3:$B$70</c:f>
              <c:numCache>
                <c:formatCode>0</c:formatCode>
                <c:ptCount val="68"/>
                <c:pt idx="0">
                  <c:v>1000</c:v>
                </c:pt>
                <c:pt idx="1">
                  <c:v>1010</c:v>
                </c:pt>
                <c:pt idx="2">
                  <c:v>1020</c:v>
                </c:pt>
                <c:pt idx="3">
                  <c:v>1030</c:v>
                </c:pt>
                <c:pt idx="4">
                  <c:v>1040</c:v>
                </c:pt>
                <c:pt idx="5">
                  <c:v>1050</c:v>
                </c:pt>
                <c:pt idx="6">
                  <c:v>1060</c:v>
                </c:pt>
                <c:pt idx="7">
                  <c:v>1070</c:v>
                </c:pt>
                <c:pt idx="8">
                  <c:v>1080</c:v>
                </c:pt>
                <c:pt idx="9">
                  <c:v>1090</c:v>
                </c:pt>
                <c:pt idx="10">
                  <c:v>1100</c:v>
                </c:pt>
                <c:pt idx="11">
                  <c:v>1110</c:v>
                </c:pt>
                <c:pt idx="12">
                  <c:v>1120</c:v>
                </c:pt>
                <c:pt idx="13">
                  <c:v>1130</c:v>
                </c:pt>
                <c:pt idx="14">
                  <c:v>1140</c:v>
                </c:pt>
                <c:pt idx="15">
                  <c:v>1150</c:v>
                </c:pt>
                <c:pt idx="16">
                  <c:v>1160</c:v>
                </c:pt>
                <c:pt idx="17">
                  <c:v>1170</c:v>
                </c:pt>
                <c:pt idx="18">
                  <c:v>1180</c:v>
                </c:pt>
                <c:pt idx="19">
                  <c:v>1190</c:v>
                </c:pt>
                <c:pt idx="20">
                  <c:v>1200</c:v>
                </c:pt>
                <c:pt idx="21">
                  <c:v>1210</c:v>
                </c:pt>
                <c:pt idx="22">
                  <c:v>1220</c:v>
                </c:pt>
                <c:pt idx="23">
                  <c:v>1230</c:v>
                </c:pt>
                <c:pt idx="24">
                  <c:v>1240</c:v>
                </c:pt>
                <c:pt idx="25">
                  <c:v>1250</c:v>
                </c:pt>
                <c:pt idx="26">
                  <c:v>1260</c:v>
                </c:pt>
                <c:pt idx="27">
                  <c:v>1270</c:v>
                </c:pt>
                <c:pt idx="28">
                  <c:v>1280</c:v>
                </c:pt>
                <c:pt idx="29">
                  <c:v>1290</c:v>
                </c:pt>
                <c:pt idx="30">
                  <c:v>1300</c:v>
                </c:pt>
                <c:pt idx="31">
                  <c:v>1310</c:v>
                </c:pt>
                <c:pt idx="32">
                  <c:v>1320</c:v>
                </c:pt>
                <c:pt idx="33">
                  <c:v>1330</c:v>
                </c:pt>
                <c:pt idx="34">
                  <c:v>1340</c:v>
                </c:pt>
                <c:pt idx="35">
                  <c:v>1350</c:v>
                </c:pt>
                <c:pt idx="36">
                  <c:v>1360</c:v>
                </c:pt>
                <c:pt idx="37">
                  <c:v>1370</c:v>
                </c:pt>
                <c:pt idx="38">
                  <c:v>1380</c:v>
                </c:pt>
                <c:pt idx="39">
                  <c:v>1390</c:v>
                </c:pt>
                <c:pt idx="40">
                  <c:v>1400</c:v>
                </c:pt>
                <c:pt idx="41">
                  <c:v>1410</c:v>
                </c:pt>
                <c:pt idx="42">
                  <c:v>1420</c:v>
                </c:pt>
                <c:pt idx="43">
                  <c:v>1430</c:v>
                </c:pt>
                <c:pt idx="44">
                  <c:v>1440</c:v>
                </c:pt>
                <c:pt idx="45">
                  <c:v>1450</c:v>
                </c:pt>
                <c:pt idx="46">
                  <c:v>1460</c:v>
                </c:pt>
                <c:pt idx="47">
                  <c:v>1470</c:v>
                </c:pt>
                <c:pt idx="48">
                  <c:v>1480</c:v>
                </c:pt>
                <c:pt idx="49">
                  <c:v>1490</c:v>
                </c:pt>
                <c:pt idx="50">
                  <c:v>1500</c:v>
                </c:pt>
                <c:pt idx="51">
                  <c:v>1510</c:v>
                </c:pt>
                <c:pt idx="52">
                  <c:v>1520</c:v>
                </c:pt>
                <c:pt idx="53">
                  <c:v>1530</c:v>
                </c:pt>
                <c:pt idx="54">
                  <c:v>1540</c:v>
                </c:pt>
                <c:pt idx="55">
                  <c:v>1550</c:v>
                </c:pt>
                <c:pt idx="56">
                  <c:v>1560</c:v>
                </c:pt>
                <c:pt idx="57">
                  <c:v>1570</c:v>
                </c:pt>
                <c:pt idx="58">
                  <c:v>1580</c:v>
                </c:pt>
                <c:pt idx="59">
                  <c:v>1590</c:v>
                </c:pt>
                <c:pt idx="60">
                  <c:v>1600</c:v>
                </c:pt>
                <c:pt idx="61">
                  <c:v>1610</c:v>
                </c:pt>
                <c:pt idx="62">
                  <c:v>1620</c:v>
                </c:pt>
                <c:pt idx="63">
                  <c:v>1630</c:v>
                </c:pt>
                <c:pt idx="64">
                  <c:v>1640</c:v>
                </c:pt>
                <c:pt idx="65">
                  <c:v>1650</c:v>
                </c:pt>
                <c:pt idx="66">
                  <c:v>1660</c:v>
                </c:pt>
                <c:pt idx="67">
                  <c:v>1670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98A-4CFB-B793-60B905A6D02B}"/>
            </c:ext>
          </c:extLst>
        </c:ser>
        <c:ser>
          <c:idx val="2"/>
          <c:order val="1"/>
          <c:tx>
            <c:v>NORMAL AFT LIMIT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ENVELOPE!$D$3:$D$70</c:f>
              <c:numCache>
                <c:formatCode>0.00</c:formatCode>
                <c:ptCount val="68"/>
                <c:pt idx="0">
                  <c:v>36.5</c:v>
                </c:pt>
                <c:pt idx="1">
                  <c:v>36.5</c:v>
                </c:pt>
                <c:pt idx="2">
                  <c:v>36.5</c:v>
                </c:pt>
                <c:pt idx="3">
                  <c:v>36.5</c:v>
                </c:pt>
                <c:pt idx="4">
                  <c:v>36.5</c:v>
                </c:pt>
                <c:pt idx="5">
                  <c:v>36.5</c:v>
                </c:pt>
                <c:pt idx="6">
                  <c:v>36.5</c:v>
                </c:pt>
                <c:pt idx="7">
                  <c:v>36.5</c:v>
                </c:pt>
                <c:pt idx="8">
                  <c:v>36.5</c:v>
                </c:pt>
                <c:pt idx="9">
                  <c:v>36.5</c:v>
                </c:pt>
                <c:pt idx="10">
                  <c:v>36.5</c:v>
                </c:pt>
                <c:pt idx="11">
                  <c:v>36.5</c:v>
                </c:pt>
                <c:pt idx="12">
                  <c:v>36.5</c:v>
                </c:pt>
                <c:pt idx="13">
                  <c:v>36.5</c:v>
                </c:pt>
                <c:pt idx="14">
                  <c:v>36.5</c:v>
                </c:pt>
                <c:pt idx="15">
                  <c:v>36.5</c:v>
                </c:pt>
                <c:pt idx="16">
                  <c:v>36.5</c:v>
                </c:pt>
                <c:pt idx="17">
                  <c:v>36.5</c:v>
                </c:pt>
                <c:pt idx="18">
                  <c:v>36.5</c:v>
                </c:pt>
                <c:pt idx="19">
                  <c:v>36.5</c:v>
                </c:pt>
                <c:pt idx="20">
                  <c:v>36.5</c:v>
                </c:pt>
                <c:pt idx="21">
                  <c:v>36.5</c:v>
                </c:pt>
                <c:pt idx="22">
                  <c:v>36.5</c:v>
                </c:pt>
                <c:pt idx="23">
                  <c:v>36.5</c:v>
                </c:pt>
                <c:pt idx="24">
                  <c:v>36.5</c:v>
                </c:pt>
                <c:pt idx="25">
                  <c:v>36.5</c:v>
                </c:pt>
                <c:pt idx="26">
                  <c:v>36.5</c:v>
                </c:pt>
                <c:pt idx="27">
                  <c:v>36.5</c:v>
                </c:pt>
                <c:pt idx="28">
                  <c:v>36.5</c:v>
                </c:pt>
                <c:pt idx="29">
                  <c:v>36.5</c:v>
                </c:pt>
                <c:pt idx="30">
                  <c:v>36.5</c:v>
                </c:pt>
                <c:pt idx="31">
                  <c:v>36.5</c:v>
                </c:pt>
                <c:pt idx="32">
                  <c:v>36.5</c:v>
                </c:pt>
                <c:pt idx="33">
                  <c:v>36.5</c:v>
                </c:pt>
                <c:pt idx="34">
                  <c:v>36.5</c:v>
                </c:pt>
                <c:pt idx="35">
                  <c:v>36.5</c:v>
                </c:pt>
                <c:pt idx="36">
                  <c:v>36.5</c:v>
                </c:pt>
                <c:pt idx="37">
                  <c:v>36.5</c:v>
                </c:pt>
                <c:pt idx="38">
                  <c:v>36.5</c:v>
                </c:pt>
                <c:pt idx="39">
                  <c:v>36.5</c:v>
                </c:pt>
                <c:pt idx="40">
                  <c:v>36.5</c:v>
                </c:pt>
                <c:pt idx="41">
                  <c:v>36.5</c:v>
                </c:pt>
                <c:pt idx="42">
                  <c:v>36.5</c:v>
                </c:pt>
                <c:pt idx="43">
                  <c:v>36.5</c:v>
                </c:pt>
                <c:pt idx="44">
                  <c:v>36.5</c:v>
                </c:pt>
                <c:pt idx="45">
                  <c:v>36.5</c:v>
                </c:pt>
                <c:pt idx="46">
                  <c:v>36.5</c:v>
                </c:pt>
                <c:pt idx="47">
                  <c:v>36.5</c:v>
                </c:pt>
                <c:pt idx="48">
                  <c:v>36.5</c:v>
                </c:pt>
                <c:pt idx="49">
                  <c:v>36.5</c:v>
                </c:pt>
                <c:pt idx="50">
                  <c:v>36.5</c:v>
                </c:pt>
                <c:pt idx="51">
                  <c:v>36.5</c:v>
                </c:pt>
                <c:pt idx="52">
                  <c:v>36.5</c:v>
                </c:pt>
                <c:pt idx="53">
                  <c:v>36.5</c:v>
                </c:pt>
                <c:pt idx="54">
                  <c:v>36.5</c:v>
                </c:pt>
                <c:pt idx="55">
                  <c:v>36.5</c:v>
                </c:pt>
                <c:pt idx="56">
                  <c:v>36.5</c:v>
                </c:pt>
                <c:pt idx="57">
                  <c:v>36.5</c:v>
                </c:pt>
                <c:pt idx="58">
                  <c:v>36.5</c:v>
                </c:pt>
                <c:pt idx="59">
                  <c:v>36.5</c:v>
                </c:pt>
                <c:pt idx="60">
                  <c:v>36.5</c:v>
                </c:pt>
                <c:pt idx="61">
                  <c:v>36.5</c:v>
                </c:pt>
                <c:pt idx="62">
                  <c:v>36.5</c:v>
                </c:pt>
                <c:pt idx="63">
                  <c:v>36.5</c:v>
                </c:pt>
                <c:pt idx="64">
                  <c:v>36.5</c:v>
                </c:pt>
                <c:pt idx="65">
                  <c:v>36.5</c:v>
                </c:pt>
                <c:pt idx="66">
                  <c:v>36.5</c:v>
                </c:pt>
                <c:pt idx="67">
                  <c:v>36.5</c:v>
                </c:pt>
              </c:numCache>
            </c:numRef>
          </c:xVal>
          <c:yVal>
            <c:numRef>
              <c:f>ENVELOPE!$B$3:$B$70</c:f>
              <c:numCache>
                <c:formatCode>0</c:formatCode>
                <c:ptCount val="68"/>
                <c:pt idx="0">
                  <c:v>1000</c:v>
                </c:pt>
                <c:pt idx="1">
                  <c:v>1010</c:v>
                </c:pt>
                <c:pt idx="2">
                  <c:v>1020</c:v>
                </c:pt>
                <c:pt idx="3">
                  <c:v>1030</c:v>
                </c:pt>
                <c:pt idx="4">
                  <c:v>1040</c:v>
                </c:pt>
                <c:pt idx="5">
                  <c:v>1050</c:v>
                </c:pt>
                <c:pt idx="6">
                  <c:v>1060</c:v>
                </c:pt>
                <c:pt idx="7">
                  <c:v>1070</c:v>
                </c:pt>
                <c:pt idx="8">
                  <c:v>1080</c:v>
                </c:pt>
                <c:pt idx="9">
                  <c:v>1090</c:v>
                </c:pt>
                <c:pt idx="10">
                  <c:v>1100</c:v>
                </c:pt>
                <c:pt idx="11">
                  <c:v>1110</c:v>
                </c:pt>
                <c:pt idx="12">
                  <c:v>1120</c:v>
                </c:pt>
                <c:pt idx="13">
                  <c:v>1130</c:v>
                </c:pt>
                <c:pt idx="14">
                  <c:v>1140</c:v>
                </c:pt>
                <c:pt idx="15">
                  <c:v>1150</c:v>
                </c:pt>
                <c:pt idx="16">
                  <c:v>1160</c:v>
                </c:pt>
                <c:pt idx="17">
                  <c:v>1170</c:v>
                </c:pt>
                <c:pt idx="18">
                  <c:v>1180</c:v>
                </c:pt>
                <c:pt idx="19">
                  <c:v>1190</c:v>
                </c:pt>
                <c:pt idx="20">
                  <c:v>1200</c:v>
                </c:pt>
                <c:pt idx="21">
                  <c:v>1210</c:v>
                </c:pt>
                <c:pt idx="22">
                  <c:v>1220</c:v>
                </c:pt>
                <c:pt idx="23">
                  <c:v>1230</c:v>
                </c:pt>
                <c:pt idx="24">
                  <c:v>1240</c:v>
                </c:pt>
                <c:pt idx="25">
                  <c:v>1250</c:v>
                </c:pt>
                <c:pt idx="26">
                  <c:v>1260</c:v>
                </c:pt>
                <c:pt idx="27">
                  <c:v>1270</c:v>
                </c:pt>
                <c:pt idx="28">
                  <c:v>1280</c:v>
                </c:pt>
                <c:pt idx="29">
                  <c:v>1290</c:v>
                </c:pt>
                <c:pt idx="30">
                  <c:v>1300</c:v>
                </c:pt>
                <c:pt idx="31">
                  <c:v>1310</c:v>
                </c:pt>
                <c:pt idx="32">
                  <c:v>1320</c:v>
                </c:pt>
                <c:pt idx="33">
                  <c:v>1330</c:v>
                </c:pt>
                <c:pt idx="34">
                  <c:v>1340</c:v>
                </c:pt>
                <c:pt idx="35">
                  <c:v>1350</c:v>
                </c:pt>
                <c:pt idx="36">
                  <c:v>1360</c:v>
                </c:pt>
                <c:pt idx="37">
                  <c:v>1370</c:v>
                </c:pt>
                <c:pt idx="38">
                  <c:v>1380</c:v>
                </c:pt>
                <c:pt idx="39">
                  <c:v>1390</c:v>
                </c:pt>
                <c:pt idx="40">
                  <c:v>1400</c:v>
                </c:pt>
                <c:pt idx="41">
                  <c:v>1410</c:v>
                </c:pt>
                <c:pt idx="42">
                  <c:v>1420</c:v>
                </c:pt>
                <c:pt idx="43">
                  <c:v>1430</c:v>
                </c:pt>
                <c:pt idx="44">
                  <c:v>1440</c:v>
                </c:pt>
                <c:pt idx="45">
                  <c:v>1450</c:v>
                </c:pt>
                <c:pt idx="46">
                  <c:v>1460</c:v>
                </c:pt>
                <c:pt idx="47">
                  <c:v>1470</c:v>
                </c:pt>
                <c:pt idx="48">
                  <c:v>1480</c:v>
                </c:pt>
                <c:pt idx="49">
                  <c:v>1490</c:v>
                </c:pt>
                <c:pt idx="50">
                  <c:v>1500</c:v>
                </c:pt>
                <c:pt idx="51">
                  <c:v>1510</c:v>
                </c:pt>
                <c:pt idx="52">
                  <c:v>1520</c:v>
                </c:pt>
                <c:pt idx="53">
                  <c:v>1530</c:v>
                </c:pt>
                <c:pt idx="54">
                  <c:v>1540</c:v>
                </c:pt>
                <c:pt idx="55">
                  <c:v>1550</c:v>
                </c:pt>
                <c:pt idx="56">
                  <c:v>1560</c:v>
                </c:pt>
                <c:pt idx="57">
                  <c:v>1570</c:v>
                </c:pt>
                <c:pt idx="58">
                  <c:v>1580</c:v>
                </c:pt>
                <c:pt idx="59">
                  <c:v>1590</c:v>
                </c:pt>
                <c:pt idx="60">
                  <c:v>1600</c:v>
                </c:pt>
                <c:pt idx="61">
                  <c:v>1610</c:v>
                </c:pt>
                <c:pt idx="62">
                  <c:v>1620</c:v>
                </c:pt>
                <c:pt idx="63">
                  <c:v>1630</c:v>
                </c:pt>
                <c:pt idx="64">
                  <c:v>1640</c:v>
                </c:pt>
                <c:pt idx="65">
                  <c:v>1650</c:v>
                </c:pt>
                <c:pt idx="66">
                  <c:v>1660</c:v>
                </c:pt>
                <c:pt idx="67">
                  <c:v>1670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98A-4CFB-B793-60B905A6D02B}"/>
            </c:ext>
          </c:extLst>
        </c:ser>
        <c:ser>
          <c:idx val="3"/>
          <c:order val="2"/>
          <c:tx>
            <c:v>NORMAL MAX GROSS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ENVELOPE!$J$6:$J$7</c:f>
              <c:numCache>
                <c:formatCode>0.00</c:formatCode>
                <c:ptCount val="2"/>
                <c:pt idx="0">
                  <c:v>32.65</c:v>
                </c:pt>
                <c:pt idx="1">
                  <c:v>36.5</c:v>
                </c:pt>
              </c:numCache>
            </c:numRef>
          </c:xVal>
          <c:yVal>
            <c:numRef>
              <c:f>ENVELOPE!$I$6:$I$7</c:f>
              <c:numCache>
                <c:formatCode>General</c:formatCode>
                <c:ptCount val="2"/>
                <c:pt idx="0">
                  <c:v>1670</c:v>
                </c:pt>
                <c:pt idx="1">
                  <c:v>1670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98A-4CFB-B793-60B905A6D02B}"/>
            </c:ext>
          </c:extLst>
        </c:ser>
        <c:ser>
          <c:idx val="5"/>
          <c:order val="3"/>
          <c:tx>
            <c:v>MAX LANDING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96.1</c:v>
              </c:pt>
              <c:pt idx="1">
                <c:v>102</c:v>
              </c:pt>
            </c:numLit>
          </c:xVal>
          <c:yVal>
            <c:numLit>
              <c:formatCode>General</c:formatCode>
              <c:ptCount val="2"/>
              <c:pt idx="0">
                <c:v>2407</c:v>
              </c:pt>
              <c:pt idx="1">
                <c:v>2407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498A-4CFB-B793-60B905A6D02B}"/>
            </c:ext>
          </c:extLst>
        </c:ser>
        <c:ser>
          <c:idx val="4"/>
          <c:order val="4"/>
          <c:tx>
            <c:v>CG MOVEMENT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ENVELOPE!$H$35:$H$41</c:f>
              <c:numCache>
                <c:formatCode>0.00</c:formatCode>
                <c:ptCount val="7"/>
                <c:pt idx="0">
                  <c:v>29.7</c:v>
                </c:pt>
                <c:pt idx="1">
                  <c:v>29.7</c:v>
                </c:pt>
                <c:pt idx="2">
                  <c:v>29.84488468361916</c:v>
                </c:pt>
                <c:pt idx="3">
                  <c:v>30.072676032640697</c:v>
                </c:pt>
                <c:pt idx="4">
                  <c:v>31.40470315190537</c:v>
                </c:pt>
                <c:pt idx="5">
                  <c:v>31.36585558644526</c:v>
                </c:pt>
                <c:pt idx="6">
                  <c:v>31.06531871186964</c:v>
                </c:pt>
              </c:numCache>
            </c:numRef>
          </c:xVal>
          <c:yVal>
            <c:numRef>
              <c:f>ENVELOPE!$G$35:$G$41</c:f>
              <c:numCache>
                <c:formatCode>0.00</c:formatCode>
                <c:ptCount val="7"/>
                <c:pt idx="0">
                  <c:v>1178.7</c:v>
                </c:pt>
                <c:pt idx="1">
                  <c:v>1178.7</c:v>
                </c:pt>
                <c:pt idx="2">
                  <c:v>1183.7</c:v>
                </c:pt>
                <c:pt idx="3">
                  <c:v>1188.7</c:v>
                </c:pt>
                <c:pt idx="4">
                  <c:v>1335.7</c:v>
                </c:pt>
                <c:pt idx="5">
                  <c:v>1330.9</c:v>
                </c:pt>
                <c:pt idx="6">
                  <c:v>1294.9000000000001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98A-4CFB-B793-60B905A6D02B}"/>
            </c:ext>
          </c:extLst>
        </c:ser>
        <c:ser>
          <c:idx val="9"/>
          <c:order val="5"/>
          <c:tx>
            <c:v>Basic Empty Weight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ash"/>
            <c:size val="2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ENVELOPE!$H$35</c:f>
              <c:numCache>
                <c:formatCode>0.00</c:formatCode>
                <c:ptCount val="1"/>
                <c:pt idx="0">
                  <c:v>29.7</c:v>
                </c:pt>
              </c:numCache>
            </c:numRef>
          </c:xVal>
          <c:yVal>
            <c:numRef>
              <c:f>ENVELOPE!$G$35</c:f>
              <c:numCache>
                <c:formatCode>0.00</c:formatCode>
                <c:ptCount val="1"/>
                <c:pt idx="0">
                  <c:v>1178.7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98A-4CFB-B793-60B905A6D02B}"/>
            </c:ext>
          </c:extLst>
        </c:ser>
        <c:ser>
          <c:idx val="10"/>
          <c:order val="6"/>
          <c:tx>
            <c:v>Pilot + Front Pax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ENVELOPE!$H$36</c:f>
              <c:numCache>
                <c:formatCode>0.00</c:formatCode>
                <c:ptCount val="1"/>
                <c:pt idx="0">
                  <c:v>29.7</c:v>
                </c:pt>
              </c:numCache>
            </c:numRef>
          </c:xVal>
          <c:yVal>
            <c:numRef>
              <c:f>ENVELOPE!$G$36</c:f>
              <c:numCache>
                <c:formatCode>0.00</c:formatCode>
                <c:ptCount val="1"/>
                <c:pt idx="0">
                  <c:v>1178.7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98A-4CFB-B793-60B905A6D02B}"/>
            </c:ext>
          </c:extLst>
        </c:ser>
        <c:ser>
          <c:idx val="12"/>
          <c:order val="8"/>
          <c:tx>
            <c:v>Baggage Area A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ENVELOPE!$H$37</c:f>
              <c:numCache>
                <c:formatCode>0.00</c:formatCode>
                <c:ptCount val="1"/>
                <c:pt idx="0">
                  <c:v>29.84488468361916</c:v>
                </c:pt>
              </c:numCache>
            </c:numRef>
          </c:xVal>
          <c:yVal>
            <c:numRef>
              <c:f>ENVELOPE!$G$37</c:f>
              <c:numCache>
                <c:formatCode>0.00</c:formatCode>
                <c:ptCount val="1"/>
                <c:pt idx="0">
                  <c:v>1183.7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98A-4CFB-B793-60B905A6D02B}"/>
            </c:ext>
          </c:extLst>
        </c:ser>
        <c:ser>
          <c:idx val="15"/>
          <c:order val="9"/>
          <c:tx>
            <c:v>Baggage Area B</c:v>
          </c:tx>
          <c:marker>
            <c:symbol val="diamond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en-US"/>
              </a:p>
            </c:txPr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ENVELOPE!$H$38</c:f>
              <c:numCache>
                <c:formatCode>0.00</c:formatCode>
                <c:ptCount val="1"/>
                <c:pt idx="0">
                  <c:v>30.072676032640697</c:v>
                </c:pt>
              </c:numCache>
            </c:numRef>
          </c:xVal>
          <c:yVal>
            <c:numRef>
              <c:f>ENVELOPE!$G$38</c:f>
              <c:numCache>
                <c:formatCode>0.00</c:formatCode>
                <c:ptCount val="1"/>
                <c:pt idx="0">
                  <c:v>1188.7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98A-4CFB-B793-60B905A6D02B}"/>
            </c:ext>
          </c:extLst>
        </c:ser>
        <c:ser>
          <c:idx val="13"/>
          <c:order val="10"/>
          <c:tx>
            <c:v>Fuel Load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ENVELOPE!$H$39</c:f>
              <c:numCache>
                <c:formatCode>0.00</c:formatCode>
                <c:ptCount val="1"/>
                <c:pt idx="0">
                  <c:v>31.40470315190537</c:v>
                </c:pt>
              </c:numCache>
            </c:numRef>
          </c:xVal>
          <c:yVal>
            <c:numRef>
              <c:f>ENVELOPE!$G$39</c:f>
              <c:numCache>
                <c:formatCode>0.00</c:formatCode>
                <c:ptCount val="1"/>
                <c:pt idx="0">
                  <c:v>1335.7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98A-4CFB-B793-60B905A6D02B}"/>
            </c:ext>
          </c:extLst>
        </c:ser>
        <c:ser>
          <c:idx val="14"/>
          <c:order val="11"/>
          <c:tx>
            <c:v>T/O Condition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ENVELOPE!$H$40</c:f>
              <c:numCache>
                <c:formatCode>0.00</c:formatCode>
                <c:ptCount val="1"/>
                <c:pt idx="0">
                  <c:v>31.36585558644526</c:v>
                </c:pt>
              </c:numCache>
            </c:numRef>
          </c:xVal>
          <c:yVal>
            <c:numRef>
              <c:f>ENVELOPE!$G$40</c:f>
              <c:numCache>
                <c:formatCode>0.00</c:formatCode>
                <c:ptCount val="1"/>
                <c:pt idx="0">
                  <c:v>1330.9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498A-4CFB-B793-60B905A6D02B}"/>
            </c:ext>
          </c:extLst>
        </c:ser>
        <c:ser>
          <c:idx val="8"/>
          <c:order val="12"/>
          <c:tx>
            <c:v>Landing Condition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1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498A-4CFB-B793-60B905A6D02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FF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ENVELOPE!$H$41</c:f>
              <c:numCache>
                <c:formatCode>0.00</c:formatCode>
                <c:ptCount val="1"/>
                <c:pt idx="0">
                  <c:v>31.06531871186964</c:v>
                </c:pt>
              </c:numCache>
            </c:numRef>
          </c:xVal>
          <c:yVal>
            <c:numRef>
              <c:f>ENVELOPE!$G$41</c:f>
              <c:numCache>
                <c:formatCode>0.00</c:formatCode>
                <c:ptCount val="1"/>
                <c:pt idx="0">
                  <c:v>1294.9000000000001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498A-4CFB-B793-60B905A6D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96532464"/>
        <c:axId val="-296537904"/>
        <c:extLst>
          <c:ext xmlns:c15="http://schemas.microsoft.com/office/drawing/2012/chart" uri="{02D57815-91ED-43cb-92C2-25804820EDAC}">
            <c15:filteredScatterSeries>
              <c15:ser>
                <c:idx val="11"/>
                <c:order val="7"/>
                <c:tx>
                  <c:v>Rear Seat Occupants</c:v>
                </c:tx>
                <c:spPr>
                  <a:ln w="12700">
                    <a:solidFill>
                      <a:srgbClr val="FFFF99"/>
                    </a:solidFill>
                    <a:prstDash val="solid"/>
                  </a:ln>
                </c:spPr>
                <c:marker>
                  <c:symbol val="diamond"/>
                  <c:size val="8"/>
                  <c:spPr>
                    <a:solidFill>
                      <a:srgbClr val="0070C0"/>
                    </a:solidFill>
                    <a:ln>
                      <a:solidFill>
                        <a:srgbClr val="0070C0"/>
                      </a:solidFill>
                      <a:prstDash val="solid"/>
                    </a:ln>
                  </c:spPr>
                </c:marker>
                <c:dLbls>
                  <c:spPr>
                    <a:noFill/>
                    <a:ln w="25400">
                      <a:noFill/>
                    </a:ln>
                  </c:spPr>
                  <c:txPr>
                    <a:bodyPr/>
                    <a:lstStyle/>
                    <a:p>
                      <a:pPr>
                        <a:defRPr sz="600" b="0" i="0" u="none" strike="noStrike" baseline="0">
                          <a:solidFill>
                            <a:srgbClr val="0070C0"/>
                          </a:solidFill>
                          <a:latin typeface="Arial"/>
                          <a:ea typeface="Arial"/>
                          <a:cs typeface="Arial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1"/>
                  <c:showSerName val="1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ENVELOPE!#REF!</c15:sqref>
                        </c15:formulaRef>
                      </c:ext>
                    </c:extLst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ENVELOPE!#REF!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D-498A-4CFB-B793-60B905A6D02B}"/>
                  </c:ext>
                </c:extLst>
              </c15:ser>
            </c15:filteredScatterSeries>
          </c:ext>
        </c:extLst>
      </c:scatterChart>
      <c:valAx>
        <c:axId val="-296532464"/>
        <c:scaling>
          <c:orientation val="minMax"/>
          <c:max val="37"/>
          <c:min val="29.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AIRPLANE C.G. LOCATION - INCHES AFT OF DATUM (STA. 0.0)</a:t>
                </a:r>
              </a:p>
            </c:rich>
          </c:tx>
          <c:layout>
            <c:manualLayout>
              <c:xMode val="edge"/>
              <c:yMode val="edge"/>
              <c:x val="0.24693538526598383"/>
              <c:y val="0.9309474392624004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96537904"/>
        <c:crossesAt val="1700"/>
        <c:crossBetween val="midCat"/>
        <c:majorUnit val="1"/>
        <c:minorUnit val="0.1"/>
      </c:valAx>
      <c:valAx>
        <c:axId val="-296537904"/>
        <c:scaling>
          <c:orientation val="minMax"/>
          <c:max val="1700"/>
          <c:min val="1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AIRPLANE WEIGHT (POUNDS)   </a:t>
                </a:r>
              </a:p>
            </c:rich>
          </c:tx>
          <c:layout>
            <c:manualLayout>
              <c:xMode val="edge"/>
              <c:yMode val="edge"/>
              <c:x val="1.4227652366571517E-2"/>
              <c:y val="0.2400005383942392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96532464"/>
        <c:crossesAt val="81"/>
        <c:crossBetween val="midCat"/>
        <c:majorUnit val="5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5" r="0.5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CENTER OF GRAVITY LIMITS</a:t>
            </a:r>
          </a:p>
        </c:rich>
      </c:tx>
      <c:layout>
        <c:manualLayout>
          <c:xMode val="edge"/>
          <c:yMode val="edge"/>
          <c:x val="0.36789772727272763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022727272727321E-2"/>
          <c:y val="8.2353008758705951E-2"/>
          <c:w val="0.90340909090909094"/>
          <c:h val="0.83697547677215522"/>
        </c:manualLayout>
      </c:layout>
      <c:scatterChart>
        <c:scatterStyle val="smoothMarker"/>
        <c:varyColors val="0"/>
        <c:ser>
          <c:idx val="0"/>
          <c:order val="0"/>
          <c:tx>
            <c:v>UTILITY FWD LIMIT</c:v>
          </c:tx>
          <c:spPr>
            <a:ln w="25400">
              <a:solidFill>
                <a:srgbClr val="660066"/>
              </a:solidFill>
              <a:prstDash val="solid"/>
            </a:ln>
          </c:spPr>
          <c:marker>
            <c:symbol val="none"/>
          </c:marker>
          <c:xVal>
            <c:numRef>
              <c:f>ENVELOPE!#REF!</c:f>
              <c:numCache>
                <c:formatCode>General</c:formatCode>
                <c:ptCount val="18"/>
              </c:numCache>
            </c:numRef>
          </c:xVal>
          <c:yVal>
            <c:numRef>
              <c:f>ENVELOPE!$B$53:$B$70</c:f>
              <c:numCache>
                <c:formatCode>0</c:formatCode>
                <c:ptCount val="18"/>
                <c:pt idx="0">
                  <c:v>1500</c:v>
                </c:pt>
                <c:pt idx="1">
                  <c:v>1510</c:v>
                </c:pt>
                <c:pt idx="2">
                  <c:v>1520</c:v>
                </c:pt>
                <c:pt idx="3">
                  <c:v>1530</c:v>
                </c:pt>
                <c:pt idx="4">
                  <c:v>1540</c:v>
                </c:pt>
                <c:pt idx="5">
                  <c:v>1550</c:v>
                </c:pt>
                <c:pt idx="6">
                  <c:v>1560</c:v>
                </c:pt>
                <c:pt idx="7">
                  <c:v>1570</c:v>
                </c:pt>
                <c:pt idx="8">
                  <c:v>1580</c:v>
                </c:pt>
                <c:pt idx="9">
                  <c:v>1590</c:v>
                </c:pt>
                <c:pt idx="10">
                  <c:v>1600</c:v>
                </c:pt>
                <c:pt idx="11">
                  <c:v>1610</c:v>
                </c:pt>
                <c:pt idx="12">
                  <c:v>1620</c:v>
                </c:pt>
                <c:pt idx="13">
                  <c:v>1630</c:v>
                </c:pt>
                <c:pt idx="14">
                  <c:v>1640</c:v>
                </c:pt>
                <c:pt idx="15">
                  <c:v>1650</c:v>
                </c:pt>
                <c:pt idx="16">
                  <c:v>1660</c:v>
                </c:pt>
                <c:pt idx="17">
                  <c:v>1670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014-4729-B714-103557B30587}"/>
            </c:ext>
          </c:extLst>
        </c:ser>
        <c:ser>
          <c:idx val="1"/>
          <c:order val="1"/>
          <c:tx>
            <c:v>NORMAL FWD LIMIT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ENVELOPE!#REF!</c:f>
            </c:numRef>
          </c:xVal>
          <c:yVal>
            <c:numRef>
              <c:f>ENVELOPE!#REF!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014-4729-B714-103557B30587}"/>
            </c:ext>
          </c:extLst>
        </c:ser>
        <c:ser>
          <c:idx val="6"/>
          <c:order val="2"/>
          <c:tx>
            <c:v>UTILITY AFT LIMIT</c:v>
          </c:tx>
          <c:spPr>
            <a:ln w="25400">
              <a:solidFill>
                <a:srgbClr val="660066"/>
              </a:solidFill>
              <a:prstDash val="solid"/>
            </a:ln>
          </c:spPr>
          <c:marker>
            <c:symbol val="none"/>
          </c:marker>
          <c:xVal>
            <c:numRef>
              <c:f>ENVELOPE!#REF!</c:f>
              <c:numCache>
                <c:formatCode>General</c:formatCode>
                <c:ptCount val="68"/>
              </c:numCache>
            </c:numRef>
          </c:xVal>
          <c:yVal>
            <c:numRef>
              <c:f>ENVELOPE!$B$53:$B$70</c:f>
              <c:numCache>
                <c:formatCode>0</c:formatCode>
                <c:ptCount val="18"/>
                <c:pt idx="0">
                  <c:v>1500</c:v>
                </c:pt>
                <c:pt idx="1">
                  <c:v>1510</c:v>
                </c:pt>
                <c:pt idx="2">
                  <c:v>1520</c:v>
                </c:pt>
                <c:pt idx="3">
                  <c:v>1530</c:v>
                </c:pt>
                <c:pt idx="4">
                  <c:v>1540</c:v>
                </c:pt>
                <c:pt idx="5">
                  <c:v>1550</c:v>
                </c:pt>
                <c:pt idx="6">
                  <c:v>1560</c:v>
                </c:pt>
                <c:pt idx="7">
                  <c:v>1570</c:v>
                </c:pt>
                <c:pt idx="8">
                  <c:v>1580</c:v>
                </c:pt>
                <c:pt idx="9">
                  <c:v>1590</c:v>
                </c:pt>
                <c:pt idx="10">
                  <c:v>1600</c:v>
                </c:pt>
                <c:pt idx="11">
                  <c:v>1610</c:v>
                </c:pt>
                <c:pt idx="12">
                  <c:v>1620</c:v>
                </c:pt>
                <c:pt idx="13">
                  <c:v>1630</c:v>
                </c:pt>
                <c:pt idx="14">
                  <c:v>1640</c:v>
                </c:pt>
                <c:pt idx="15">
                  <c:v>1650</c:v>
                </c:pt>
                <c:pt idx="16">
                  <c:v>1660</c:v>
                </c:pt>
                <c:pt idx="17">
                  <c:v>1670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014-4729-B714-103557B30587}"/>
            </c:ext>
          </c:extLst>
        </c:ser>
        <c:ser>
          <c:idx val="2"/>
          <c:order val="3"/>
          <c:tx>
            <c:v>NORMAL AFT LIMIT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ENVELOPE!$D$3:$D$75</c:f>
              <c:numCache>
                <c:formatCode>0.00</c:formatCode>
                <c:ptCount val="73"/>
                <c:pt idx="0">
                  <c:v>36.5</c:v>
                </c:pt>
                <c:pt idx="1">
                  <c:v>36.5</c:v>
                </c:pt>
                <c:pt idx="2">
                  <c:v>36.5</c:v>
                </c:pt>
                <c:pt idx="3">
                  <c:v>36.5</c:v>
                </c:pt>
                <c:pt idx="4">
                  <c:v>36.5</c:v>
                </c:pt>
                <c:pt idx="5">
                  <c:v>36.5</c:v>
                </c:pt>
                <c:pt idx="6">
                  <c:v>36.5</c:v>
                </c:pt>
                <c:pt idx="7">
                  <c:v>36.5</c:v>
                </c:pt>
                <c:pt idx="8">
                  <c:v>36.5</c:v>
                </c:pt>
                <c:pt idx="9">
                  <c:v>36.5</c:v>
                </c:pt>
                <c:pt idx="10">
                  <c:v>36.5</c:v>
                </c:pt>
                <c:pt idx="11">
                  <c:v>36.5</c:v>
                </c:pt>
                <c:pt idx="12">
                  <c:v>36.5</c:v>
                </c:pt>
                <c:pt idx="13">
                  <c:v>36.5</c:v>
                </c:pt>
                <c:pt idx="14">
                  <c:v>36.5</c:v>
                </c:pt>
                <c:pt idx="15">
                  <c:v>36.5</c:v>
                </c:pt>
                <c:pt idx="16">
                  <c:v>36.5</c:v>
                </c:pt>
                <c:pt idx="17">
                  <c:v>36.5</c:v>
                </c:pt>
                <c:pt idx="18">
                  <c:v>36.5</c:v>
                </c:pt>
                <c:pt idx="19">
                  <c:v>36.5</c:v>
                </c:pt>
                <c:pt idx="20">
                  <c:v>36.5</c:v>
                </c:pt>
                <c:pt idx="21">
                  <c:v>36.5</c:v>
                </c:pt>
                <c:pt idx="22">
                  <c:v>36.5</c:v>
                </c:pt>
                <c:pt idx="23">
                  <c:v>36.5</c:v>
                </c:pt>
                <c:pt idx="24">
                  <c:v>36.5</c:v>
                </c:pt>
                <c:pt idx="25">
                  <c:v>36.5</c:v>
                </c:pt>
                <c:pt idx="26">
                  <c:v>36.5</c:v>
                </c:pt>
                <c:pt idx="27">
                  <c:v>36.5</c:v>
                </c:pt>
                <c:pt idx="28">
                  <c:v>36.5</c:v>
                </c:pt>
                <c:pt idx="29">
                  <c:v>36.5</c:v>
                </c:pt>
                <c:pt idx="30">
                  <c:v>36.5</c:v>
                </c:pt>
                <c:pt idx="31">
                  <c:v>36.5</c:v>
                </c:pt>
                <c:pt idx="32">
                  <c:v>36.5</c:v>
                </c:pt>
                <c:pt idx="33">
                  <c:v>36.5</c:v>
                </c:pt>
                <c:pt idx="34">
                  <c:v>36.5</c:v>
                </c:pt>
                <c:pt idx="35">
                  <c:v>36.5</c:v>
                </c:pt>
                <c:pt idx="36">
                  <c:v>36.5</c:v>
                </c:pt>
                <c:pt idx="37">
                  <c:v>36.5</c:v>
                </c:pt>
                <c:pt idx="38">
                  <c:v>36.5</c:v>
                </c:pt>
                <c:pt idx="39">
                  <c:v>36.5</c:v>
                </c:pt>
                <c:pt idx="40">
                  <c:v>36.5</c:v>
                </c:pt>
                <c:pt idx="41">
                  <c:v>36.5</c:v>
                </c:pt>
                <c:pt idx="42">
                  <c:v>36.5</c:v>
                </c:pt>
                <c:pt idx="43">
                  <c:v>36.5</c:v>
                </c:pt>
                <c:pt idx="44">
                  <c:v>36.5</c:v>
                </c:pt>
                <c:pt idx="45">
                  <c:v>36.5</c:v>
                </c:pt>
                <c:pt idx="46">
                  <c:v>36.5</c:v>
                </c:pt>
                <c:pt idx="47">
                  <c:v>36.5</c:v>
                </c:pt>
                <c:pt idx="48">
                  <c:v>36.5</c:v>
                </c:pt>
                <c:pt idx="49">
                  <c:v>36.5</c:v>
                </c:pt>
                <c:pt idx="50">
                  <c:v>36.5</c:v>
                </c:pt>
                <c:pt idx="51">
                  <c:v>36.5</c:v>
                </c:pt>
                <c:pt idx="52">
                  <c:v>36.5</c:v>
                </c:pt>
                <c:pt idx="53">
                  <c:v>36.5</c:v>
                </c:pt>
                <c:pt idx="54">
                  <c:v>36.5</c:v>
                </c:pt>
                <c:pt idx="55">
                  <c:v>36.5</c:v>
                </c:pt>
                <c:pt idx="56">
                  <c:v>36.5</c:v>
                </c:pt>
                <c:pt idx="57">
                  <c:v>36.5</c:v>
                </c:pt>
                <c:pt idx="58">
                  <c:v>36.5</c:v>
                </c:pt>
                <c:pt idx="59">
                  <c:v>36.5</c:v>
                </c:pt>
                <c:pt idx="60">
                  <c:v>36.5</c:v>
                </c:pt>
                <c:pt idx="61">
                  <c:v>36.5</c:v>
                </c:pt>
                <c:pt idx="62">
                  <c:v>36.5</c:v>
                </c:pt>
                <c:pt idx="63">
                  <c:v>36.5</c:v>
                </c:pt>
                <c:pt idx="64">
                  <c:v>36.5</c:v>
                </c:pt>
                <c:pt idx="65">
                  <c:v>36.5</c:v>
                </c:pt>
                <c:pt idx="66">
                  <c:v>36.5</c:v>
                </c:pt>
                <c:pt idx="67">
                  <c:v>36.5</c:v>
                </c:pt>
              </c:numCache>
            </c:numRef>
          </c:xVal>
          <c:yVal>
            <c:numRef>
              <c:f>ENVELOPE!#REF!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014-4729-B714-103557B30587}"/>
            </c:ext>
          </c:extLst>
        </c:ser>
        <c:ser>
          <c:idx val="7"/>
          <c:order val="4"/>
          <c:tx>
            <c:v>UTILITY MAX GROSS</c:v>
          </c:tx>
          <c:spPr>
            <a:ln w="25400">
              <a:solidFill>
                <a:srgbClr val="660066"/>
              </a:solidFill>
              <a:prstDash val="solid"/>
            </a:ln>
          </c:spPr>
          <c:marker>
            <c:symbol val="none"/>
          </c:marker>
          <c:xVal>
            <c:numRef>
              <c:f>ENVELOPE!$H$6:$H$7</c:f>
              <c:numCache>
                <c:formatCode>0.00</c:formatCode>
                <c:ptCount val="2"/>
              </c:numCache>
            </c:numRef>
          </c:xVal>
          <c:yVal>
            <c:numRef>
              <c:f>ENVELOPE!$G$6:$G$7</c:f>
              <c:numCache>
                <c:formatCode>General</c:formatCode>
                <c:ptCount val="2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014-4729-B714-103557B30587}"/>
            </c:ext>
          </c:extLst>
        </c:ser>
        <c:ser>
          <c:idx val="3"/>
          <c:order val="5"/>
          <c:tx>
            <c:v>NORMAL MAX GROSS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ENVELOPE!$J$6:$J$7</c:f>
              <c:numCache>
                <c:formatCode>0.00</c:formatCode>
                <c:ptCount val="2"/>
                <c:pt idx="0">
                  <c:v>32.65</c:v>
                </c:pt>
                <c:pt idx="1">
                  <c:v>36.5</c:v>
                </c:pt>
              </c:numCache>
            </c:numRef>
          </c:xVal>
          <c:yVal>
            <c:numRef>
              <c:f>ENVELOPE!$I$6:$I$7</c:f>
              <c:numCache>
                <c:formatCode>General</c:formatCode>
                <c:ptCount val="2"/>
                <c:pt idx="0">
                  <c:v>1670</c:v>
                </c:pt>
                <c:pt idx="1">
                  <c:v>1670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014-4729-B714-103557B30587}"/>
            </c:ext>
          </c:extLst>
        </c:ser>
        <c:ser>
          <c:idx val="5"/>
          <c:order val="6"/>
          <c:tx>
            <c:v>MAX LANDING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96.1</c:v>
              </c:pt>
              <c:pt idx="1">
                <c:v>102</c:v>
              </c:pt>
            </c:numLit>
          </c:xVal>
          <c:yVal>
            <c:numLit>
              <c:formatCode>General</c:formatCode>
              <c:ptCount val="2"/>
              <c:pt idx="0">
                <c:v>2407</c:v>
              </c:pt>
              <c:pt idx="1">
                <c:v>2407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6-8014-4729-B714-103557B30587}"/>
            </c:ext>
          </c:extLst>
        </c:ser>
        <c:ser>
          <c:idx val="4"/>
          <c:order val="7"/>
          <c:tx>
            <c:v>CG MOVEMENT</c:v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none"/>
          </c:marker>
          <c:xVal>
            <c:numRef>
              <c:f>ENVELOPE!$H$13:$H$19</c:f>
              <c:numCache>
                <c:formatCode>0.00</c:formatCode>
                <c:ptCount val="7"/>
                <c:pt idx="0">
                  <c:v>29.83</c:v>
                </c:pt>
                <c:pt idx="1">
                  <c:v>29.83</c:v>
                </c:pt>
                <c:pt idx="2">
                  <c:v>29.977651064712386</c:v>
                </c:pt>
                <c:pt idx="3">
                  <c:v>30.210081230853955</c:v>
                </c:pt>
                <c:pt idx="4">
                  <c:v>31.553724333903691</c:v>
                </c:pt>
                <c:pt idx="5">
                  <c:v>31.514633525515208</c:v>
                </c:pt>
                <c:pt idx="6">
                  <c:v>31.212021256465242</c:v>
                </c:pt>
              </c:numCache>
            </c:numRef>
          </c:xVal>
          <c:yVal>
            <c:numRef>
              <c:f>ENVELOPE!$G$13:$G$19</c:f>
              <c:numCache>
                <c:formatCode>0.00</c:formatCode>
                <c:ptCount val="7"/>
                <c:pt idx="0">
                  <c:v>1152.1199999999999</c:v>
                </c:pt>
                <c:pt idx="1">
                  <c:v>1152.1199999999999</c:v>
                </c:pt>
                <c:pt idx="2">
                  <c:v>1157.1199999999999</c:v>
                </c:pt>
                <c:pt idx="3">
                  <c:v>1162.1199999999999</c:v>
                </c:pt>
                <c:pt idx="4">
                  <c:v>1309.1199999999999</c:v>
                </c:pt>
                <c:pt idx="5">
                  <c:v>1304.32</c:v>
                </c:pt>
                <c:pt idx="6">
                  <c:v>1268.32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014-4729-B714-103557B30587}"/>
            </c:ext>
          </c:extLst>
        </c:ser>
        <c:ser>
          <c:idx val="9"/>
          <c:order val="8"/>
          <c:tx>
            <c:v>Basic Empty Weight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ash"/>
            <c:size val="2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ENVELOPE!$H$13</c:f>
              <c:numCache>
                <c:formatCode>0.00</c:formatCode>
                <c:ptCount val="1"/>
                <c:pt idx="0">
                  <c:v>29.83</c:v>
                </c:pt>
              </c:numCache>
            </c:numRef>
          </c:xVal>
          <c:yVal>
            <c:numRef>
              <c:f>ENVELOPE!$G$13</c:f>
              <c:numCache>
                <c:formatCode>0.00</c:formatCode>
                <c:ptCount val="1"/>
                <c:pt idx="0">
                  <c:v>1152.1199999999999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8014-4729-B714-103557B30587}"/>
            </c:ext>
          </c:extLst>
        </c:ser>
        <c:ser>
          <c:idx val="10"/>
          <c:order val="9"/>
          <c:tx>
            <c:v>Pilot + Front Pax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ENVELOPE!$H$14</c:f>
              <c:numCache>
                <c:formatCode>0.00</c:formatCode>
                <c:ptCount val="1"/>
                <c:pt idx="0">
                  <c:v>29.83</c:v>
                </c:pt>
              </c:numCache>
            </c:numRef>
          </c:xVal>
          <c:yVal>
            <c:numRef>
              <c:f>ENVELOPE!$G$14</c:f>
              <c:numCache>
                <c:formatCode>0.00</c:formatCode>
                <c:ptCount val="1"/>
                <c:pt idx="0">
                  <c:v>1152.1199999999999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8014-4729-B714-103557B30587}"/>
            </c:ext>
          </c:extLst>
        </c:ser>
        <c:ser>
          <c:idx val="11"/>
          <c:order val="10"/>
          <c:tx>
            <c:v>Rear Seat Occupants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ENVELOPE!#REF!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ENVELOPE!#REF!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8014-4729-B714-103557B30587}"/>
            </c:ext>
          </c:extLst>
        </c:ser>
        <c:ser>
          <c:idx val="12"/>
          <c:order val="11"/>
          <c:tx>
            <c:v>Baggage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ENVELOPE!$H$15</c:f>
              <c:numCache>
                <c:formatCode>0.00</c:formatCode>
                <c:ptCount val="1"/>
                <c:pt idx="0">
                  <c:v>29.977651064712386</c:v>
                </c:pt>
              </c:numCache>
            </c:numRef>
          </c:xVal>
          <c:yVal>
            <c:numRef>
              <c:f>ENVELOPE!$G$15</c:f>
              <c:numCache>
                <c:formatCode>0.00</c:formatCode>
                <c:ptCount val="1"/>
                <c:pt idx="0">
                  <c:v>1157.1199999999999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8014-4729-B714-103557B30587}"/>
            </c:ext>
          </c:extLst>
        </c:ser>
        <c:ser>
          <c:idx val="13"/>
          <c:order val="12"/>
          <c:tx>
            <c:v>Fuel Load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ENVELOPE!$H$17</c:f>
              <c:numCache>
                <c:formatCode>0.00</c:formatCode>
                <c:ptCount val="1"/>
                <c:pt idx="0">
                  <c:v>31.553724333903691</c:v>
                </c:pt>
              </c:numCache>
            </c:numRef>
          </c:xVal>
          <c:yVal>
            <c:numRef>
              <c:f>ENVELOPE!$G$17</c:f>
              <c:numCache>
                <c:formatCode>0.00</c:formatCode>
                <c:ptCount val="1"/>
                <c:pt idx="0">
                  <c:v>1309.1199999999999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8014-4729-B714-103557B30587}"/>
            </c:ext>
          </c:extLst>
        </c:ser>
        <c:ser>
          <c:idx val="14"/>
          <c:order val="13"/>
          <c:tx>
            <c:v>T/O Condition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ENVELOPE!$H$18</c:f>
              <c:numCache>
                <c:formatCode>0.00</c:formatCode>
                <c:ptCount val="1"/>
                <c:pt idx="0">
                  <c:v>31.514633525515208</c:v>
                </c:pt>
              </c:numCache>
            </c:numRef>
          </c:xVal>
          <c:yVal>
            <c:numRef>
              <c:f>ENVELOPE!$G$18</c:f>
              <c:numCache>
                <c:formatCode>0.00</c:formatCode>
                <c:ptCount val="1"/>
                <c:pt idx="0">
                  <c:v>1304.32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8014-4729-B714-103557B30587}"/>
            </c:ext>
          </c:extLst>
        </c:ser>
        <c:ser>
          <c:idx val="8"/>
          <c:order val="14"/>
          <c:tx>
            <c:v>Landing Condition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ENVELOPE!$H$19</c:f>
              <c:numCache>
                <c:formatCode>0.00</c:formatCode>
                <c:ptCount val="1"/>
                <c:pt idx="0">
                  <c:v>31.212021256465242</c:v>
                </c:pt>
              </c:numCache>
            </c:numRef>
          </c:xVal>
          <c:yVal>
            <c:numRef>
              <c:f>ENVELOPE!$G$19</c:f>
              <c:numCache>
                <c:formatCode>0.00</c:formatCode>
                <c:ptCount val="1"/>
                <c:pt idx="0">
                  <c:v>1268.32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8014-4729-B714-103557B30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96536816"/>
        <c:axId val="-296542800"/>
      </c:scatterChart>
      <c:valAx>
        <c:axId val="-296536816"/>
        <c:scaling>
          <c:orientation val="minMax"/>
          <c:max val="94"/>
          <c:min val="8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AIRPLANE C.G. LOCATION - INCHES AFT OF DATUM (STA. 0.0)</a:t>
                </a:r>
              </a:p>
            </c:rich>
          </c:tx>
          <c:layout>
            <c:manualLayout>
              <c:xMode val="edge"/>
              <c:yMode val="edge"/>
              <c:x val="0.29687500000000028"/>
              <c:y val="0.956303226802531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96542800"/>
        <c:crossesAt val="1700"/>
        <c:crossBetween val="midCat"/>
        <c:majorUnit val="1"/>
        <c:minorUnit val="0.1"/>
      </c:valAx>
      <c:valAx>
        <c:axId val="-296542800"/>
        <c:scaling>
          <c:orientation val="minMax"/>
          <c:max val="2600"/>
          <c:min val="1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AIRPLANE WEIGHT (POUNDS)</a:t>
                </a:r>
              </a:p>
            </c:rich>
          </c:tx>
          <c:layout>
            <c:manualLayout>
              <c:xMode val="edge"/>
              <c:yMode val="edge"/>
              <c:x val="1.4227660462896674E-2"/>
              <c:y val="0.240000529345596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96536816"/>
        <c:crossesAt val="81"/>
        <c:crossBetween val="midCat"/>
        <c:majorUnit val="5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180974</xdr:rowOff>
    </xdr:from>
    <xdr:to>
      <xdr:col>5</xdr:col>
      <xdr:colOff>0</xdr:colOff>
      <xdr:row>38</xdr:row>
      <xdr:rowOff>152399</xdr:rowOff>
    </xdr:to>
    <xdr:graphicFrame macro="">
      <xdr:nvGraphicFramePr>
        <xdr:cNvPr id="7203" name="Chart 1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180974</xdr:rowOff>
    </xdr:from>
    <xdr:to>
      <xdr:col>5</xdr:col>
      <xdr:colOff>0</xdr:colOff>
      <xdr:row>38</xdr:row>
      <xdr:rowOff>152399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180974</xdr:rowOff>
    </xdr:from>
    <xdr:to>
      <xdr:col>5</xdr:col>
      <xdr:colOff>0</xdr:colOff>
      <xdr:row>38</xdr:row>
      <xdr:rowOff>152399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78870" name="Chart 3">
          <a:extLst>
            <a:ext uri="{FF2B5EF4-FFF2-40B4-BE49-F238E27FC236}">
              <a16:creationId xmlns:a16="http://schemas.microsoft.com/office/drawing/2014/main" id="{00000000-0008-0000-0400-00001634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0.20992</cdr:x>
      <cdr:y>0.77825</cdr:y>
    </cdr:from>
    <cdr:to>
      <cdr:x>0.48768</cdr:x>
      <cdr:y>0.87018</cdr:y>
    </cdr:to>
    <cdr:sp macro="" textlink="">
      <cdr:nvSpPr>
        <cdr:cNvPr id="16076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12839" y="4421232"/>
          <a:ext cx="1865150" cy="52188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660066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2286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strike="noStrike">
              <a:solidFill>
                <a:srgbClr val="660066"/>
              </a:solidFill>
              <a:latin typeface="Arial"/>
              <a:cs typeface="Arial"/>
            </a:rPr>
            <a:t>UTILITY CATEGORY</a:t>
          </a:r>
        </a:p>
      </cdr:txBody>
    </cdr:sp>
  </cdr:relSizeAnchor>
  <cdr:relSizeAnchor xmlns:cdr="http://schemas.openxmlformats.org/drawingml/2006/chartDrawing">
    <cdr:from>
      <cdr:x>0.14116</cdr:x>
      <cdr:y>0.13006</cdr:y>
    </cdr:from>
    <cdr:to>
      <cdr:x>0.41768</cdr:x>
      <cdr:y>0.22077</cdr:y>
    </cdr:to>
    <cdr:sp macro="" textlink="">
      <cdr:nvSpPr>
        <cdr:cNvPr id="16077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1103" y="741529"/>
          <a:ext cx="1856875" cy="51490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0000FF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2286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strike="noStrike">
              <a:solidFill>
                <a:srgbClr val="0000FF"/>
              </a:solidFill>
              <a:latin typeface="Arial"/>
              <a:cs typeface="Arial"/>
            </a:rPr>
            <a:t>NORMAL CATEGORY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2"/>
  </sheetPr>
  <dimension ref="A1:J39"/>
  <sheetViews>
    <sheetView tabSelected="1" zoomScaleNormal="100" workbookViewId="0">
      <selection activeCell="B11" sqref="B11"/>
    </sheetView>
  </sheetViews>
  <sheetFormatPr defaultRowHeight="12.75" x14ac:dyDescent="0.2"/>
  <cols>
    <col min="1" max="1" width="30.7109375" customWidth="1"/>
    <col min="2" max="5" width="12.7109375" customWidth="1"/>
    <col min="6" max="7" width="3.7109375" customWidth="1"/>
    <col min="8" max="8" width="21.5703125" bestFit="1" customWidth="1"/>
    <col min="9" max="9" width="18.140625" customWidth="1"/>
    <col min="10" max="10" width="5.28515625" bestFit="1" customWidth="1"/>
  </cols>
  <sheetData>
    <row r="1" spans="1:10" ht="15" customHeight="1" thickBot="1" x14ac:dyDescent="0.25">
      <c r="A1" s="192" t="s">
        <v>74</v>
      </c>
      <c r="B1" s="193"/>
      <c r="C1" s="193"/>
      <c r="D1" s="196" t="s">
        <v>73</v>
      </c>
      <c r="E1" s="197"/>
      <c r="F1" s="76"/>
      <c r="G1" s="207" t="s">
        <v>96</v>
      </c>
      <c r="H1" s="189" t="s">
        <v>60</v>
      </c>
      <c r="I1" s="190"/>
      <c r="J1" s="191"/>
    </row>
    <row r="2" spans="1:10" ht="15" customHeight="1" thickBot="1" x14ac:dyDescent="0.25">
      <c r="A2" s="194"/>
      <c r="B2" s="195"/>
      <c r="C2" s="195"/>
      <c r="D2" s="198"/>
      <c r="E2" s="199"/>
      <c r="G2" s="207"/>
      <c r="H2" s="132" t="s">
        <v>61</v>
      </c>
      <c r="I2" s="146">
        <v>0</v>
      </c>
      <c r="J2" s="123" t="s">
        <v>54</v>
      </c>
    </row>
    <row r="3" spans="1:10" ht="15" customHeight="1" thickBot="1" x14ac:dyDescent="0.25">
      <c r="A3" s="152" t="s">
        <v>0</v>
      </c>
      <c r="B3" s="205" t="s">
        <v>83</v>
      </c>
      <c r="C3" s="206"/>
      <c r="D3" s="200">
        <f ca="1">NOW()</f>
        <v>43514.548021064817</v>
      </c>
      <c r="E3" s="201"/>
      <c r="G3" s="207"/>
      <c r="H3" s="133" t="s">
        <v>62</v>
      </c>
      <c r="I3" s="147">
        <v>0</v>
      </c>
      <c r="J3" s="124" t="s">
        <v>54</v>
      </c>
    </row>
    <row r="4" spans="1:10" ht="15" customHeight="1" thickBot="1" x14ac:dyDescent="0.25">
      <c r="A4" s="202" t="str">
        <f>IF((B11-B15)&lt;4.575, "WARNING: CHECK FUEL RESERVE QUANTITY!","")</f>
        <v/>
      </c>
      <c r="B4" s="203"/>
      <c r="C4" s="203"/>
      <c r="D4" s="203"/>
      <c r="E4" s="204"/>
      <c r="G4" s="207"/>
      <c r="H4" s="144" t="s">
        <v>63</v>
      </c>
      <c r="I4" s="148">
        <f>I2+I3</f>
        <v>0</v>
      </c>
      <c r="J4" s="125" t="s">
        <v>54</v>
      </c>
    </row>
    <row r="5" spans="1:10" ht="15" customHeight="1" x14ac:dyDescent="0.2">
      <c r="A5" s="77" t="s">
        <v>1</v>
      </c>
      <c r="B5" s="78" t="s">
        <v>2</v>
      </c>
      <c r="C5" s="78" t="s">
        <v>3</v>
      </c>
      <c r="D5" s="79" t="s">
        <v>4</v>
      </c>
      <c r="E5" s="80" t="s">
        <v>5</v>
      </c>
      <c r="G5" s="207"/>
      <c r="H5" s="110" t="str">
        <f>IF((I5)&gt;120,"EXCEEDED - 120 MAX","Baggage Area 1")</f>
        <v>Baggage Area 1</v>
      </c>
      <c r="I5" s="147">
        <v>5</v>
      </c>
      <c r="J5" s="124" t="s">
        <v>54</v>
      </c>
    </row>
    <row r="6" spans="1:10" ht="15" customHeight="1" x14ac:dyDescent="0.2">
      <c r="A6" s="81" t="s">
        <v>6</v>
      </c>
      <c r="B6" s="82"/>
      <c r="C6" s="151">
        <f>ENVELOPE!$G$13</f>
        <v>1152.1199999999999</v>
      </c>
      <c r="D6" s="85">
        <f>ENVELOPE!$H$13</f>
        <v>29.83</v>
      </c>
      <c r="E6" s="83">
        <f>(C6*D6)/1000</f>
        <v>34.367739599999993</v>
      </c>
      <c r="G6" s="207"/>
      <c r="H6" s="110" t="str">
        <f>IF((I6)&gt;40,"EXCEEDED - 40 MAX","Baggage Area 2")</f>
        <v>Baggage Area 2</v>
      </c>
      <c r="I6" s="147">
        <v>5</v>
      </c>
      <c r="J6" s="124" t="s">
        <v>54</v>
      </c>
    </row>
    <row r="7" spans="1:10" ht="15" customHeight="1" thickBot="1" x14ac:dyDescent="0.25">
      <c r="A7" s="81" t="s">
        <v>7</v>
      </c>
      <c r="B7" s="82"/>
      <c r="C7" s="84">
        <f>I4</f>
        <v>0</v>
      </c>
      <c r="D7" s="85">
        <v>39</v>
      </c>
      <c r="E7" s="83">
        <f>(C7*D7)/1000</f>
        <v>0</v>
      </c>
      <c r="G7" s="207"/>
      <c r="H7" s="145" t="str">
        <f>IF((I5+I6)&gt;120,"Baggage Exceeded","Subtotal")</f>
        <v>Subtotal</v>
      </c>
      <c r="I7" s="149">
        <f>IF((I5+I6)&gt;120,"MAX TOTAL - 120",(I5+I6))</f>
        <v>10</v>
      </c>
      <c r="J7" s="126" t="s">
        <v>54</v>
      </c>
    </row>
    <row r="8" spans="1:10" ht="15" customHeight="1" thickBot="1" x14ac:dyDescent="0.25">
      <c r="A8" s="110" t="s">
        <v>79</v>
      </c>
      <c r="B8" s="82"/>
      <c r="C8" s="84">
        <f>I5</f>
        <v>5</v>
      </c>
      <c r="D8" s="85">
        <v>64</v>
      </c>
      <c r="E8" s="83">
        <f>(C8*D8)/1000</f>
        <v>0.32</v>
      </c>
      <c r="G8" s="163" t="s">
        <v>95</v>
      </c>
      <c r="H8" s="164" t="s">
        <v>43</v>
      </c>
      <c r="I8" s="165"/>
      <c r="J8" s="166"/>
    </row>
    <row r="9" spans="1:10" ht="15" customHeight="1" thickBot="1" x14ac:dyDescent="0.25">
      <c r="A9" s="110" t="s">
        <v>80</v>
      </c>
      <c r="B9" s="82"/>
      <c r="C9" s="84">
        <f>I6</f>
        <v>5</v>
      </c>
      <c r="D9" s="85">
        <v>84</v>
      </c>
      <c r="E9" s="83">
        <f>(C9*D9)/1000</f>
        <v>0.42</v>
      </c>
      <c r="G9" s="163"/>
      <c r="H9" s="132" t="s">
        <v>44</v>
      </c>
      <c r="I9" s="93">
        <f>C14</f>
        <v>1304.32</v>
      </c>
      <c r="J9" s="128" t="s">
        <v>54</v>
      </c>
    </row>
    <row r="10" spans="1:10" ht="15" customHeight="1" thickBot="1" x14ac:dyDescent="0.25">
      <c r="A10" s="86" t="s">
        <v>8</v>
      </c>
      <c r="B10" s="87"/>
      <c r="C10" s="88">
        <f>SUM(C6:C9)</f>
        <v>1162.1199999999999</v>
      </c>
      <c r="D10" s="89">
        <f>IF(ISERROR((E10/C10)*1000),0,(E10/C10)*1000)</f>
        <v>30.210081230853955</v>
      </c>
      <c r="E10" s="90">
        <f>IF(SUM(C6:C9)&gt;ENVELOPE!$I$4,"OVER WT.",SUM(E6:E9))</f>
        <v>35.107739599999995</v>
      </c>
      <c r="G10" s="163"/>
      <c r="H10" s="133" t="s">
        <v>58</v>
      </c>
      <c r="I10" s="170" t="s">
        <v>56</v>
      </c>
      <c r="J10" s="171"/>
    </row>
    <row r="11" spans="1:10" ht="15" customHeight="1" thickBot="1" x14ac:dyDescent="0.25">
      <c r="A11" s="153" t="s">
        <v>76</v>
      </c>
      <c r="B11" s="50">
        <v>24.5</v>
      </c>
      <c r="C11" s="154">
        <f>IF((B11*6)&gt;318,"EXCEEDED",(B11*6))</f>
        <v>147</v>
      </c>
      <c r="D11" s="155">
        <v>42.176000000000002</v>
      </c>
      <c r="E11" s="156">
        <f>IF(ISERROR((C11*D11)/1000),"EXCEEDED",(C11*D11)/1000)</f>
        <v>6.199872</v>
      </c>
      <c r="G11" s="163"/>
      <c r="H11" s="133" t="s">
        <v>17</v>
      </c>
      <c r="I11" s="170" t="s">
        <v>56</v>
      </c>
      <c r="J11" s="171"/>
    </row>
    <row r="12" spans="1:10" ht="15" customHeight="1" thickBot="1" x14ac:dyDescent="0.25">
      <c r="A12" s="86" t="s">
        <v>9</v>
      </c>
      <c r="B12" s="87"/>
      <c r="C12" s="88">
        <f>SUM(C10:C11)</f>
        <v>1309.1199999999999</v>
      </c>
      <c r="D12" s="89">
        <f>IF(ISERROR((E12/C12)*1000),0,(E12/C12)*1000)</f>
        <v>31.553724333903688</v>
      </c>
      <c r="E12" s="90">
        <f>IF(SUM(C10:C11)&lt;=ENVELOPE!$I$4,SUM(E10:E11),IF(C14&gt;ENVELOPE!$I$5,"OVER WT.",SUM(E10:E11)))</f>
        <v>41.307611599999994</v>
      </c>
      <c r="G12" s="163"/>
      <c r="H12" s="134" t="s">
        <v>40</v>
      </c>
      <c r="I12" s="101"/>
      <c r="J12" s="127" t="s">
        <v>59</v>
      </c>
    </row>
    <row r="13" spans="1:10" ht="15" customHeight="1" thickBot="1" x14ac:dyDescent="0.25">
      <c r="A13" s="91" t="s">
        <v>42</v>
      </c>
      <c r="B13" s="143">
        <v>-0.8</v>
      </c>
      <c r="C13" s="138">
        <v>-4.8</v>
      </c>
      <c r="D13" s="92">
        <v>42.176000000000002</v>
      </c>
      <c r="E13" s="95">
        <f>(C13*D13)/1000</f>
        <v>-0.20244480000000001</v>
      </c>
      <c r="G13" s="163"/>
      <c r="H13" s="134" t="s">
        <v>41</v>
      </c>
      <c r="I13" s="101"/>
      <c r="J13" s="127" t="s">
        <v>59</v>
      </c>
    </row>
    <row r="14" spans="1:10" ht="15" customHeight="1" thickBot="1" x14ac:dyDescent="0.25">
      <c r="A14" s="96" t="s">
        <v>78</v>
      </c>
      <c r="B14" s="97"/>
      <c r="C14" s="98">
        <f>SUM(C12:C13)</f>
        <v>1304.32</v>
      </c>
      <c r="D14" s="99">
        <f>IF(ISERROR((E14/C14)*1000),0,(E14/C14)*1000)</f>
        <v>31.514633525515208</v>
      </c>
      <c r="E14" s="100">
        <f>IF(SUM(C12:C13)&gt;ENVELOPE!$I$5,"OVER WT.",SUM(E12:E13))</f>
        <v>41.105166799999992</v>
      </c>
      <c r="G14" s="163"/>
      <c r="H14" s="133" t="s">
        <v>71</v>
      </c>
      <c r="I14" s="122"/>
      <c r="J14" s="127" t="s">
        <v>72</v>
      </c>
    </row>
    <row r="15" spans="1:10" ht="15" customHeight="1" thickBot="1" x14ac:dyDescent="0.25">
      <c r="A15" s="91" t="s">
        <v>10</v>
      </c>
      <c r="B15" s="50">
        <v>6</v>
      </c>
      <c r="C15" s="94">
        <f>(-B15*6)</f>
        <v>-36</v>
      </c>
      <c r="D15" s="92">
        <v>42.176000000000002</v>
      </c>
      <c r="E15" s="95">
        <f>(C15*D15)/1000</f>
        <v>-1.5183359999999999</v>
      </c>
      <c r="G15" s="163"/>
      <c r="H15" s="186" t="s">
        <v>91</v>
      </c>
      <c r="I15" s="187"/>
      <c r="J15" s="188"/>
    </row>
    <row r="16" spans="1:10" ht="15" customHeight="1" thickBot="1" x14ac:dyDescent="0.25">
      <c r="A16" s="96" t="s">
        <v>11</v>
      </c>
      <c r="B16" s="97"/>
      <c r="C16" s="98">
        <f>SUM(C14:C15)</f>
        <v>1268.32</v>
      </c>
      <c r="D16" s="99">
        <f>IF(ISERROR((E16/C16)*1000),0,(E16/C16)*1000)</f>
        <v>31.212021256465242</v>
      </c>
      <c r="E16" s="100">
        <f>IF(SUM(C14:C15)&lt;=C10,0,SUM(E14:E15))</f>
        <v>39.586830799999994</v>
      </c>
      <c r="G16" s="163"/>
      <c r="H16" s="135"/>
      <c r="J16" s="129"/>
    </row>
    <row r="17" spans="1:10" ht="15" customHeight="1" thickBot="1" x14ac:dyDescent="0.25">
      <c r="A17" s="167"/>
      <c r="B17" s="168"/>
      <c r="C17" s="169"/>
      <c r="D17" s="175" t="str">
        <f>IF(OR(C14&gt;ENVELOPE!$I$5, C16&lt;=C10), "AIRCRAFT UNSAFE", "")</f>
        <v/>
      </c>
      <c r="E17" s="176"/>
      <c r="G17" s="163"/>
      <c r="H17" s="135"/>
      <c r="J17" s="129"/>
    </row>
    <row r="18" spans="1:10" ht="15" customHeight="1" thickBot="1" x14ac:dyDescent="0.25">
      <c r="A18" s="102" t="str">
        <f>IF(B18&lt;0, "OVERWEIGHT - Remove", "Useful Load Available")</f>
        <v>Useful Load Available</v>
      </c>
      <c r="B18" s="103">
        <f>IF(ISERROR(ENVELOPE!$I$6-$C$14), "ERROR", ENVELOPE!$I$6-$C$14)</f>
        <v>365.68000000000006</v>
      </c>
      <c r="C18" s="104" t="str">
        <f>IF(B18&lt;0, "Lbs Over", "Pounds")</f>
        <v>Pounds</v>
      </c>
      <c r="D18" s="177"/>
      <c r="E18" s="178"/>
      <c r="G18" s="163"/>
      <c r="H18" s="135"/>
      <c r="J18" s="129"/>
    </row>
    <row r="19" spans="1:10" ht="15" customHeight="1" thickBot="1" x14ac:dyDescent="0.25">
      <c r="A19" s="105" t="s">
        <v>77</v>
      </c>
      <c r="B19" s="106">
        <f>IF((104-((ENVELOPE!$I$6-C14)/650)*15&lt;=104),(104-((ENVELOPE!$I$6-C14)/650)*15),104)</f>
        <v>95.561230769230775</v>
      </c>
      <c r="C19" s="107" t="s">
        <v>38</v>
      </c>
      <c r="D19" s="179"/>
      <c r="E19" s="180"/>
      <c r="G19" s="163"/>
      <c r="H19" s="135"/>
      <c r="J19" s="129"/>
    </row>
    <row r="20" spans="1:10" ht="15" customHeight="1" x14ac:dyDescent="0.2">
      <c r="G20" s="163"/>
      <c r="H20" s="4"/>
      <c r="I20" s="16"/>
      <c r="J20" s="130"/>
    </row>
    <row r="21" spans="1:10" ht="15" customHeight="1" x14ac:dyDescent="0.2">
      <c r="G21" s="163"/>
      <c r="H21" s="133" t="s">
        <v>55</v>
      </c>
      <c r="I21" s="170" t="s">
        <v>56</v>
      </c>
      <c r="J21" s="171"/>
    </row>
    <row r="22" spans="1:10" ht="15" customHeight="1" x14ac:dyDescent="0.2">
      <c r="G22" s="163"/>
      <c r="H22" s="133" t="s">
        <v>20</v>
      </c>
      <c r="I22" s="170"/>
      <c r="J22" s="171"/>
    </row>
    <row r="23" spans="1:10" ht="15" customHeight="1" x14ac:dyDescent="0.2">
      <c r="G23" s="163"/>
      <c r="H23" s="133" t="s">
        <v>24</v>
      </c>
      <c r="I23" s="101"/>
      <c r="J23" s="127" t="s">
        <v>53</v>
      </c>
    </row>
    <row r="24" spans="1:10" ht="15" customHeight="1" x14ac:dyDescent="0.2">
      <c r="G24" s="163"/>
      <c r="H24" s="133" t="s">
        <v>25</v>
      </c>
      <c r="I24" s="101"/>
      <c r="J24" s="127" t="s">
        <v>53</v>
      </c>
    </row>
    <row r="25" spans="1:10" ht="15" customHeight="1" thickBot="1" x14ac:dyDescent="0.25">
      <c r="G25" s="163"/>
      <c r="H25" s="162" t="s">
        <v>89</v>
      </c>
      <c r="I25" s="184" t="s">
        <v>90</v>
      </c>
      <c r="J25" s="185"/>
    </row>
    <row r="26" spans="1:10" ht="15" customHeight="1" thickBot="1" x14ac:dyDescent="0.25">
      <c r="G26" s="163"/>
      <c r="H26" s="164" t="s">
        <v>45</v>
      </c>
      <c r="I26" s="165"/>
      <c r="J26" s="166"/>
    </row>
    <row r="27" spans="1:10" ht="15" customHeight="1" x14ac:dyDescent="0.2">
      <c r="G27" s="163"/>
      <c r="H27" s="181" t="s">
        <v>46</v>
      </c>
      <c r="I27" s="182"/>
      <c r="J27" s="183"/>
    </row>
    <row r="28" spans="1:10" ht="15" customHeight="1" x14ac:dyDescent="0.2">
      <c r="G28" s="163"/>
      <c r="H28" s="157" t="s">
        <v>39</v>
      </c>
      <c r="I28" s="101"/>
      <c r="J28" s="127" t="s">
        <v>53</v>
      </c>
    </row>
    <row r="29" spans="1:10" ht="15" customHeight="1" x14ac:dyDescent="0.2">
      <c r="G29" s="163"/>
      <c r="H29" s="157" t="s">
        <v>51</v>
      </c>
      <c r="I29" s="101"/>
      <c r="J29" s="127" t="s">
        <v>53</v>
      </c>
    </row>
    <row r="30" spans="1:10" ht="15" customHeight="1" x14ac:dyDescent="0.2">
      <c r="G30" s="163"/>
      <c r="H30" s="158" t="s">
        <v>86</v>
      </c>
      <c r="I30" s="159" t="s">
        <v>87</v>
      </c>
      <c r="J30" s="127" t="s">
        <v>53</v>
      </c>
    </row>
    <row r="31" spans="1:10" ht="15" customHeight="1" x14ac:dyDescent="0.2">
      <c r="G31" s="163"/>
      <c r="H31" s="172" t="s">
        <v>47</v>
      </c>
      <c r="I31" s="173"/>
      <c r="J31" s="174"/>
    </row>
    <row r="32" spans="1:10" ht="15" customHeight="1" x14ac:dyDescent="0.2">
      <c r="G32" s="163"/>
      <c r="H32" s="157" t="s">
        <v>39</v>
      </c>
      <c r="I32" s="101"/>
      <c r="J32" s="127" t="s">
        <v>53</v>
      </c>
    </row>
    <row r="33" spans="6:10" ht="15" customHeight="1" x14ac:dyDescent="0.2">
      <c r="G33" s="163"/>
      <c r="H33" s="157" t="s">
        <v>51</v>
      </c>
      <c r="I33" s="101"/>
      <c r="J33" s="127" t="s">
        <v>53</v>
      </c>
    </row>
    <row r="34" spans="6:10" ht="15" customHeight="1" thickBot="1" x14ac:dyDescent="0.25">
      <c r="G34" s="163"/>
      <c r="H34" s="160" t="s">
        <v>86</v>
      </c>
      <c r="I34" s="161" t="s">
        <v>88</v>
      </c>
      <c r="J34" s="127" t="s">
        <v>53</v>
      </c>
    </row>
    <row r="35" spans="6:10" ht="15" customHeight="1" thickBot="1" x14ac:dyDescent="0.25">
      <c r="G35" s="163"/>
      <c r="H35" s="164" t="s">
        <v>48</v>
      </c>
      <c r="I35" s="165"/>
      <c r="J35" s="166"/>
    </row>
    <row r="36" spans="6:10" ht="15" customHeight="1" x14ac:dyDescent="0.2">
      <c r="G36" s="163"/>
      <c r="H36" s="136" t="s">
        <v>49</v>
      </c>
      <c r="I36" s="121"/>
      <c r="J36" s="130" t="s">
        <v>52</v>
      </c>
    </row>
    <row r="37" spans="6:10" x14ac:dyDescent="0.2">
      <c r="G37" s="163"/>
      <c r="H37" s="133" t="s">
        <v>70</v>
      </c>
      <c r="I37" s="101"/>
      <c r="J37" s="127" t="s">
        <v>52</v>
      </c>
    </row>
    <row r="38" spans="6:10" x14ac:dyDescent="0.2">
      <c r="G38" s="163"/>
      <c r="H38" s="133" t="s">
        <v>50</v>
      </c>
      <c r="I38" s="101"/>
      <c r="J38" s="127" t="s">
        <v>52</v>
      </c>
    </row>
    <row r="39" spans="6:10" ht="13.5" thickBot="1" x14ac:dyDescent="0.25">
      <c r="F39" s="109"/>
      <c r="G39" s="163"/>
      <c r="H39" s="137" t="s">
        <v>57</v>
      </c>
      <c r="I39" s="108"/>
      <c r="J39" s="131" t="s">
        <v>52</v>
      </c>
    </row>
  </sheetData>
  <sheetProtection algorithmName="SHA-512" hashValue="LiUTQyurWWAXQ5JwSgEhWShSourlbhmD/dPZeba2ZnH1T5Abge9sKQKLX0R5QpdAP2iTjzJuMPwRZyD0uZBlvA==" saltValue="PmwgwoK5iTdzuYyZx8dMmA==" spinCount="100000" sheet="1" objects="1" scenarios="1" selectLockedCells="1"/>
  <mergeCells count="21">
    <mergeCell ref="H1:J1"/>
    <mergeCell ref="A1:C2"/>
    <mergeCell ref="D1:E2"/>
    <mergeCell ref="D3:E3"/>
    <mergeCell ref="A4:E4"/>
    <mergeCell ref="B3:C3"/>
    <mergeCell ref="G1:G7"/>
    <mergeCell ref="G8:G39"/>
    <mergeCell ref="H35:J35"/>
    <mergeCell ref="H26:J26"/>
    <mergeCell ref="A17:C17"/>
    <mergeCell ref="H8:J8"/>
    <mergeCell ref="I10:J10"/>
    <mergeCell ref="I11:J11"/>
    <mergeCell ref="H31:J31"/>
    <mergeCell ref="D17:E19"/>
    <mergeCell ref="I21:J21"/>
    <mergeCell ref="H27:J27"/>
    <mergeCell ref="I22:J22"/>
    <mergeCell ref="I25:J25"/>
    <mergeCell ref="H15:J15"/>
  </mergeCells>
  <phoneticPr fontId="2" type="noConversion"/>
  <dataValidations count="1">
    <dataValidation type="whole" errorStyle="warning" allowBlank="1" showInputMessage="1" showErrorMessage="1" errorTitle="Weight Limitation Exceeded" error="You have exceeded the allowable weight limitation of this aircraft." sqref="C12" xr:uid="{00000000-0002-0000-0000-000000000000}">
      <formula1>1472</formula1>
      <formula2>2407</formula2>
    </dataValidation>
  </dataValidations>
  <printOptions horizontalCentered="1" verticalCentered="1"/>
  <pageMargins left="0" right="0" top="0" bottom="0" header="0" footer="0"/>
  <pageSetup orientation="landscape" r:id="rId1"/>
  <headerFooter alignWithMargins="0"/>
  <ignoredErrors>
    <ignoredError sqref="E13:E14 C15" formula="1"/>
    <ignoredError sqref="C7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2"/>
  </sheetPr>
  <dimension ref="A1:J39"/>
  <sheetViews>
    <sheetView topLeftCell="A2" zoomScaleNormal="100" workbookViewId="0">
      <selection activeCell="I2" sqref="I2"/>
    </sheetView>
  </sheetViews>
  <sheetFormatPr defaultRowHeight="12.75" x14ac:dyDescent="0.2"/>
  <cols>
    <col min="1" max="1" width="30.7109375" customWidth="1"/>
    <col min="2" max="5" width="12.7109375" customWidth="1"/>
    <col min="6" max="7" width="3.7109375" customWidth="1"/>
    <col min="8" max="8" width="21.5703125" bestFit="1" customWidth="1"/>
    <col min="9" max="9" width="18.140625" customWidth="1"/>
    <col min="10" max="10" width="5.28515625" bestFit="1" customWidth="1"/>
  </cols>
  <sheetData>
    <row r="1" spans="1:10" ht="15" customHeight="1" thickBot="1" x14ac:dyDescent="0.25">
      <c r="A1" s="192" t="s">
        <v>74</v>
      </c>
      <c r="B1" s="193"/>
      <c r="C1" s="193"/>
      <c r="D1" s="196" t="s">
        <v>84</v>
      </c>
      <c r="E1" s="197"/>
      <c r="F1" s="76"/>
      <c r="G1" s="207" t="s">
        <v>96</v>
      </c>
      <c r="H1" s="189" t="s">
        <v>60</v>
      </c>
      <c r="I1" s="190"/>
      <c r="J1" s="191"/>
    </row>
    <row r="2" spans="1:10" ht="15" customHeight="1" thickBot="1" x14ac:dyDescent="0.25">
      <c r="A2" s="194"/>
      <c r="B2" s="195"/>
      <c r="C2" s="195"/>
      <c r="D2" s="198"/>
      <c r="E2" s="199"/>
      <c r="G2" s="207"/>
      <c r="H2" s="132" t="s">
        <v>61</v>
      </c>
      <c r="I2" s="146">
        <v>0</v>
      </c>
      <c r="J2" s="123" t="s">
        <v>54</v>
      </c>
    </row>
    <row r="3" spans="1:10" ht="15" customHeight="1" thickBot="1" x14ac:dyDescent="0.25">
      <c r="A3" s="152" t="s">
        <v>0</v>
      </c>
      <c r="B3" s="205" t="s">
        <v>83</v>
      </c>
      <c r="C3" s="206"/>
      <c r="D3" s="200">
        <f ca="1">NOW()</f>
        <v>43514.548021064817</v>
      </c>
      <c r="E3" s="201"/>
      <c r="G3" s="207"/>
      <c r="H3" s="133" t="s">
        <v>62</v>
      </c>
      <c r="I3" s="147">
        <v>0</v>
      </c>
      <c r="J3" s="124" t="s">
        <v>54</v>
      </c>
    </row>
    <row r="4" spans="1:10" ht="15" customHeight="1" thickBot="1" x14ac:dyDescent="0.25">
      <c r="A4" s="202" t="str">
        <f>IF((B11-B15)&lt;4.575, "WARNING: CHECK FUEL RESERVE QUANTITY!","")</f>
        <v/>
      </c>
      <c r="B4" s="203"/>
      <c r="C4" s="203"/>
      <c r="D4" s="203"/>
      <c r="E4" s="204"/>
      <c r="G4" s="207"/>
      <c r="H4" s="144" t="s">
        <v>63</v>
      </c>
      <c r="I4" s="148">
        <f>I2+I3</f>
        <v>0</v>
      </c>
      <c r="J4" s="125" t="s">
        <v>54</v>
      </c>
    </row>
    <row r="5" spans="1:10" ht="15" customHeight="1" x14ac:dyDescent="0.2">
      <c r="A5" s="77" t="s">
        <v>1</v>
      </c>
      <c r="B5" s="78" t="s">
        <v>2</v>
      </c>
      <c r="C5" s="78" t="s">
        <v>3</v>
      </c>
      <c r="D5" s="79" t="s">
        <v>4</v>
      </c>
      <c r="E5" s="80" t="s">
        <v>5</v>
      </c>
      <c r="G5" s="207"/>
      <c r="H5" s="110" t="str">
        <f>IF((I5)&gt;120,"EXCEEDED - 120 MAX","Baggage Area 1")</f>
        <v>Baggage Area 1</v>
      </c>
      <c r="I5" s="147">
        <v>5</v>
      </c>
      <c r="J5" s="124" t="s">
        <v>54</v>
      </c>
    </row>
    <row r="6" spans="1:10" ht="15" customHeight="1" x14ac:dyDescent="0.2">
      <c r="A6" s="81" t="s">
        <v>6</v>
      </c>
      <c r="B6" s="82"/>
      <c r="C6" s="151">
        <f>ENVELOPE!$G$24</f>
        <v>1158.08</v>
      </c>
      <c r="D6" s="85">
        <f>ENVELOPE!$H$24</f>
        <v>30.02</v>
      </c>
      <c r="E6" s="83">
        <f>(C6*D6)/1000</f>
        <v>34.765561599999998</v>
      </c>
      <c r="G6" s="207"/>
      <c r="H6" s="110" t="str">
        <f>IF((I6)&gt;40,"EXCEEDED - 40 MAX","Baggage Area 2")</f>
        <v>Baggage Area 2</v>
      </c>
      <c r="I6" s="147">
        <v>5</v>
      </c>
      <c r="J6" s="124" t="s">
        <v>54</v>
      </c>
    </row>
    <row r="7" spans="1:10" ht="15" customHeight="1" thickBot="1" x14ac:dyDescent="0.25">
      <c r="A7" s="81" t="s">
        <v>7</v>
      </c>
      <c r="B7" s="82"/>
      <c r="C7" s="84">
        <f>I4</f>
        <v>0</v>
      </c>
      <c r="D7" s="85">
        <v>39</v>
      </c>
      <c r="E7" s="83">
        <f>(C7*D7)/1000</f>
        <v>0</v>
      </c>
      <c r="G7" s="207"/>
      <c r="H7" s="145" t="str">
        <f>IF((I5+I6)&gt;120,"Baggage Exceeded","Subtotal")</f>
        <v>Subtotal</v>
      </c>
      <c r="I7" s="149">
        <f>IF((I5+I6)&gt;120,"MAX TOTAL - 120",(I5+I6))</f>
        <v>10</v>
      </c>
      <c r="J7" s="126" t="s">
        <v>54</v>
      </c>
    </row>
    <row r="8" spans="1:10" ht="15" customHeight="1" thickBot="1" x14ac:dyDescent="0.25">
      <c r="A8" s="110" t="s">
        <v>79</v>
      </c>
      <c r="B8" s="82"/>
      <c r="C8" s="84">
        <f>I5</f>
        <v>5</v>
      </c>
      <c r="D8" s="85">
        <v>64</v>
      </c>
      <c r="E8" s="83">
        <f>(C8*D8)/1000</f>
        <v>0.32</v>
      </c>
      <c r="G8" s="163" t="s">
        <v>95</v>
      </c>
      <c r="H8" s="164" t="s">
        <v>43</v>
      </c>
      <c r="I8" s="165"/>
      <c r="J8" s="166"/>
    </row>
    <row r="9" spans="1:10" ht="15" customHeight="1" thickBot="1" x14ac:dyDescent="0.25">
      <c r="A9" s="110" t="s">
        <v>80</v>
      </c>
      <c r="B9" s="82"/>
      <c r="C9" s="84">
        <f>I6</f>
        <v>5</v>
      </c>
      <c r="D9" s="85">
        <v>84</v>
      </c>
      <c r="E9" s="83">
        <f>(C9*D9)/1000</f>
        <v>0.42</v>
      </c>
      <c r="G9" s="163"/>
      <c r="H9" s="132" t="s">
        <v>44</v>
      </c>
      <c r="I9" s="93">
        <f>C14</f>
        <v>1310.28</v>
      </c>
      <c r="J9" s="128" t="s">
        <v>54</v>
      </c>
    </row>
    <row r="10" spans="1:10" ht="15" customHeight="1" thickBot="1" x14ac:dyDescent="0.25">
      <c r="A10" s="86" t="s">
        <v>8</v>
      </c>
      <c r="B10" s="87"/>
      <c r="C10" s="88">
        <f>SUM(C6:C9)</f>
        <v>1168.08</v>
      </c>
      <c r="D10" s="89">
        <f>IF(ISERROR((E10/C10)*1000),0,(E10/C10)*1000)</f>
        <v>30.396515307170741</v>
      </c>
      <c r="E10" s="90">
        <f>IF(SUM(C6:C9)&gt;ENVELOPE!$I$4,"OVER WT.",SUM(E6:E9))</f>
        <v>35.5055616</v>
      </c>
      <c r="G10" s="163"/>
      <c r="H10" s="133" t="s">
        <v>58</v>
      </c>
      <c r="I10" s="170" t="s">
        <v>56</v>
      </c>
      <c r="J10" s="171"/>
    </row>
    <row r="11" spans="1:10" ht="15" customHeight="1" thickBot="1" x14ac:dyDescent="0.25">
      <c r="A11" s="153" t="s">
        <v>76</v>
      </c>
      <c r="B11" s="50">
        <v>24.5</v>
      </c>
      <c r="C11" s="154">
        <f>IF((B11*6)&gt;318,"EXCEEDED",(B11*6))</f>
        <v>147</v>
      </c>
      <c r="D11" s="155">
        <v>42.176000000000002</v>
      </c>
      <c r="E11" s="156">
        <f>IF(ISERROR((C11*D11)/1000),"EXCEEDED",(C11*D11)/1000)</f>
        <v>6.199872</v>
      </c>
      <c r="G11" s="163"/>
      <c r="H11" s="133" t="s">
        <v>17</v>
      </c>
      <c r="I11" s="170" t="s">
        <v>56</v>
      </c>
      <c r="J11" s="171"/>
    </row>
    <row r="12" spans="1:10" ht="15" customHeight="1" thickBot="1" x14ac:dyDescent="0.25">
      <c r="A12" s="86" t="s">
        <v>9</v>
      </c>
      <c r="B12" s="87"/>
      <c r="C12" s="88">
        <f>SUM(C10:C11)</f>
        <v>1315.08</v>
      </c>
      <c r="D12" s="89">
        <f>IF(ISERROR((E12/C12)*1000),0,(E12/C12)*1000)</f>
        <v>31.713229309243545</v>
      </c>
      <c r="E12" s="90">
        <f>IF(SUM(C10:C11)&lt;=ENVELOPE!$I$4,SUM(E10:E11),IF(C14&gt;ENVELOPE!$I$5,"OVER WT.",SUM(E10:E11)))</f>
        <v>41.705433599999999</v>
      </c>
      <c r="G12" s="163"/>
      <c r="H12" s="134" t="s">
        <v>40</v>
      </c>
      <c r="I12" s="101"/>
      <c r="J12" s="127" t="s">
        <v>59</v>
      </c>
    </row>
    <row r="13" spans="1:10" ht="15" customHeight="1" thickBot="1" x14ac:dyDescent="0.25">
      <c r="A13" s="91" t="s">
        <v>42</v>
      </c>
      <c r="B13" s="143">
        <v>-0.8</v>
      </c>
      <c r="C13" s="138">
        <v>-4.8</v>
      </c>
      <c r="D13" s="92">
        <v>42.176000000000002</v>
      </c>
      <c r="E13" s="95">
        <f>(C13*D13)/1000</f>
        <v>-0.20244480000000001</v>
      </c>
      <c r="G13" s="163"/>
      <c r="H13" s="134" t="s">
        <v>41</v>
      </c>
      <c r="I13" s="101"/>
      <c r="J13" s="127" t="s">
        <v>59</v>
      </c>
    </row>
    <row r="14" spans="1:10" ht="15" customHeight="1" thickBot="1" x14ac:dyDescent="0.25">
      <c r="A14" s="96" t="s">
        <v>78</v>
      </c>
      <c r="B14" s="97"/>
      <c r="C14" s="98">
        <f>SUM(C12:C13)</f>
        <v>1310.28</v>
      </c>
      <c r="D14" s="99">
        <f>IF(ISERROR((E14/C14)*1000),0,(E14/C14)*1000)</f>
        <v>31.674900631925997</v>
      </c>
      <c r="E14" s="100">
        <f>IF(SUM(C12:C13)&gt;ENVELOPE!$I$5,"OVER WT.",SUM(E12:E13))</f>
        <v>41.502988799999997</v>
      </c>
      <c r="G14" s="163"/>
      <c r="H14" s="133" t="s">
        <v>71</v>
      </c>
      <c r="I14" s="122"/>
      <c r="J14" s="127" t="s">
        <v>72</v>
      </c>
    </row>
    <row r="15" spans="1:10" ht="15" customHeight="1" thickBot="1" x14ac:dyDescent="0.25">
      <c r="A15" s="91" t="s">
        <v>10</v>
      </c>
      <c r="B15" s="50">
        <v>6</v>
      </c>
      <c r="C15" s="94">
        <f>(-B15*6)</f>
        <v>-36</v>
      </c>
      <c r="D15" s="92">
        <v>42.176000000000002</v>
      </c>
      <c r="E15" s="95">
        <f>(C15*D15)/1000</f>
        <v>-1.5183359999999999</v>
      </c>
      <c r="G15" s="163"/>
      <c r="H15" s="186" t="s">
        <v>91</v>
      </c>
      <c r="I15" s="187"/>
      <c r="J15" s="188"/>
    </row>
    <row r="16" spans="1:10" ht="15" customHeight="1" thickBot="1" x14ac:dyDescent="0.25">
      <c r="A16" s="96" t="s">
        <v>11</v>
      </c>
      <c r="B16" s="97"/>
      <c r="C16" s="98">
        <f>SUM(C14:C15)</f>
        <v>1274.28</v>
      </c>
      <c r="D16" s="99">
        <f>IF(ISERROR((E16/C16)*1000),0,(E16/C16)*1000)</f>
        <v>31.378231471890004</v>
      </c>
      <c r="E16" s="100">
        <f>IF(SUM(C14:C15)&lt;=C10,0,SUM(E14:E15))</f>
        <v>39.984652799999999</v>
      </c>
      <c r="G16" s="163"/>
      <c r="H16" s="135"/>
      <c r="J16" s="129"/>
    </row>
    <row r="17" spans="1:10" ht="15" customHeight="1" thickBot="1" x14ac:dyDescent="0.25">
      <c r="A17" s="167"/>
      <c r="B17" s="168"/>
      <c r="C17" s="169"/>
      <c r="D17" s="175" t="str">
        <f>IF(OR(C14&gt;ENVELOPE!$I$5, C16&lt;=C10), "AIRCRAFT UNSAFE", "")</f>
        <v/>
      </c>
      <c r="E17" s="176"/>
      <c r="G17" s="163"/>
      <c r="H17" s="135"/>
      <c r="J17" s="129"/>
    </row>
    <row r="18" spans="1:10" ht="15" customHeight="1" thickBot="1" x14ac:dyDescent="0.25">
      <c r="A18" s="102" t="str">
        <f>IF(B18&lt;0, "OVERWEIGHT - Remove", "Useful Load Available")</f>
        <v>Useful Load Available</v>
      </c>
      <c r="B18" s="103">
        <f>IF(ISERROR(ENVELOPE!$I$6-$C$14), "ERROR", ENVELOPE!$I$6-$C$14)</f>
        <v>359.72</v>
      </c>
      <c r="C18" s="104" t="str">
        <f>IF(B18&lt;0, "Lbs Over", "Pounds")</f>
        <v>Pounds</v>
      </c>
      <c r="D18" s="177"/>
      <c r="E18" s="178"/>
      <c r="G18" s="163"/>
      <c r="H18" s="135"/>
      <c r="J18" s="129"/>
    </row>
    <row r="19" spans="1:10" ht="15" customHeight="1" thickBot="1" x14ac:dyDescent="0.25">
      <c r="A19" s="105" t="s">
        <v>77</v>
      </c>
      <c r="B19" s="106">
        <f>IF((104-((ENVELOPE!$I$6-C14)/650)*15&lt;=104),(104-((ENVELOPE!$I$6-C14)/650)*15),104)</f>
        <v>95.69876923076923</v>
      </c>
      <c r="C19" s="107" t="s">
        <v>38</v>
      </c>
      <c r="D19" s="179"/>
      <c r="E19" s="180"/>
      <c r="G19" s="163"/>
      <c r="H19" s="135"/>
      <c r="J19" s="129"/>
    </row>
    <row r="20" spans="1:10" ht="15" customHeight="1" x14ac:dyDescent="0.2">
      <c r="G20" s="163"/>
      <c r="H20" s="4"/>
      <c r="I20" s="16"/>
      <c r="J20" s="130"/>
    </row>
    <row r="21" spans="1:10" ht="15" customHeight="1" x14ac:dyDescent="0.2">
      <c r="G21" s="163"/>
      <c r="H21" s="133" t="s">
        <v>55</v>
      </c>
      <c r="I21" s="170" t="s">
        <v>56</v>
      </c>
      <c r="J21" s="171"/>
    </row>
    <row r="22" spans="1:10" ht="15" customHeight="1" x14ac:dyDescent="0.2">
      <c r="G22" s="163"/>
      <c r="H22" s="133" t="s">
        <v>20</v>
      </c>
      <c r="I22" s="170"/>
      <c r="J22" s="171"/>
    </row>
    <row r="23" spans="1:10" ht="15" customHeight="1" x14ac:dyDescent="0.2">
      <c r="G23" s="163"/>
      <c r="H23" s="133" t="s">
        <v>24</v>
      </c>
      <c r="I23" s="101"/>
      <c r="J23" s="127" t="s">
        <v>53</v>
      </c>
    </row>
    <row r="24" spans="1:10" ht="15" customHeight="1" x14ac:dyDescent="0.2">
      <c r="G24" s="163"/>
      <c r="H24" s="133" t="s">
        <v>25</v>
      </c>
      <c r="I24" s="101"/>
      <c r="J24" s="127" t="s">
        <v>53</v>
      </c>
    </row>
    <row r="25" spans="1:10" ht="15" customHeight="1" thickBot="1" x14ac:dyDescent="0.25">
      <c r="G25" s="163"/>
      <c r="H25" s="162" t="s">
        <v>89</v>
      </c>
      <c r="I25" s="184" t="s">
        <v>90</v>
      </c>
      <c r="J25" s="185"/>
    </row>
    <row r="26" spans="1:10" ht="15" customHeight="1" thickBot="1" x14ac:dyDescent="0.25">
      <c r="G26" s="163"/>
      <c r="H26" s="164" t="s">
        <v>45</v>
      </c>
      <c r="I26" s="165"/>
      <c r="J26" s="166"/>
    </row>
    <row r="27" spans="1:10" ht="15" customHeight="1" x14ac:dyDescent="0.2">
      <c r="G27" s="163"/>
      <c r="H27" s="181" t="s">
        <v>46</v>
      </c>
      <c r="I27" s="182"/>
      <c r="J27" s="183"/>
    </row>
    <row r="28" spans="1:10" ht="15" customHeight="1" x14ac:dyDescent="0.2">
      <c r="G28" s="163"/>
      <c r="H28" s="157" t="s">
        <v>39</v>
      </c>
      <c r="I28" s="101"/>
      <c r="J28" s="127" t="s">
        <v>53</v>
      </c>
    </row>
    <row r="29" spans="1:10" ht="15" customHeight="1" x14ac:dyDescent="0.2">
      <c r="G29" s="163"/>
      <c r="H29" s="157" t="s">
        <v>51</v>
      </c>
      <c r="I29" s="101"/>
      <c r="J29" s="127" t="s">
        <v>53</v>
      </c>
    </row>
    <row r="30" spans="1:10" ht="15" customHeight="1" x14ac:dyDescent="0.2">
      <c r="G30" s="163"/>
      <c r="H30" s="158" t="s">
        <v>86</v>
      </c>
      <c r="I30" s="159" t="s">
        <v>87</v>
      </c>
      <c r="J30" s="127" t="s">
        <v>53</v>
      </c>
    </row>
    <row r="31" spans="1:10" ht="15" customHeight="1" x14ac:dyDescent="0.2">
      <c r="G31" s="163"/>
      <c r="H31" s="172" t="s">
        <v>47</v>
      </c>
      <c r="I31" s="173"/>
      <c r="J31" s="174"/>
    </row>
    <row r="32" spans="1:10" ht="15" customHeight="1" x14ac:dyDescent="0.2">
      <c r="G32" s="163"/>
      <c r="H32" s="157" t="s">
        <v>39</v>
      </c>
      <c r="I32" s="101"/>
      <c r="J32" s="127" t="s">
        <v>53</v>
      </c>
    </row>
    <row r="33" spans="6:10" ht="15" customHeight="1" x14ac:dyDescent="0.2">
      <c r="G33" s="163"/>
      <c r="H33" s="157" t="s">
        <v>51</v>
      </c>
      <c r="I33" s="101"/>
      <c r="J33" s="127" t="s">
        <v>53</v>
      </c>
    </row>
    <row r="34" spans="6:10" ht="15" customHeight="1" thickBot="1" x14ac:dyDescent="0.25">
      <c r="G34" s="163"/>
      <c r="H34" s="160" t="s">
        <v>86</v>
      </c>
      <c r="I34" s="161" t="s">
        <v>88</v>
      </c>
      <c r="J34" s="127" t="s">
        <v>53</v>
      </c>
    </row>
    <row r="35" spans="6:10" ht="15" customHeight="1" thickBot="1" x14ac:dyDescent="0.25">
      <c r="G35" s="163"/>
      <c r="H35" s="164" t="s">
        <v>48</v>
      </c>
      <c r="I35" s="165"/>
      <c r="J35" s="166"/>
    </row>
    <row r="36" spans="6:10" ht="15" customHeight="1" x14ac:dyDescent="0.2">
      <c r="G36" s="163"/>
      <c r="H36" s="136" t="s">
        <v>49</v>
      </c>
      <c r="I36" s="121"/>
      <c r="J36" s="130" t="s">
        <v>52</v>
      </c>
    </row>
    <row r="37" spans="6:10" x14ac:dyDescent="0.2">
      <c r="G37" s="163"/>
      <c r="H37" s="133" t="s">
        <v>70</v>
      </c>
      <c r="I37" s="101"/>
      <c r="J37" s="127" t="s">
        <v>52</v>
      </c>
    </row>
    <row r="38" spans="6:10" x14ac:dyDescent="0.2">
      <c r="G38" s="163"/>
      <c r="H38" s="133" t="s">
        <v>50</v>
      </c>
      <c r="I38" s="101"/>
      <c r="J38" s="127" t="s">
        <v>52</v>
      </c>
    </row>
    <row r="39" spans="6:10" ht="13.5" thickBot="1" x14ac:dyDescent="0.25">
      <c r="F39" s="109"/>
      <c r="G39" s="163"/>
      <c r="H39" s="137" t="s">
        <v>57</v>
      </c>
      <c r="I39" s="108"/>
      <c r="J39" s="131" t="s">
        <v>52</v>
      </c>
    </row>
  </sheetData>
  <sheetProtection algorithmName="SHA-512" hashValue="HgsrxBjki3lHzxH7SLnaQaZ0ISK/HI65bpTsTA8JRUJ+WTsJ5r6rwutPo7mQlMgEv3IA2HK+p0Z67LRwX4pCwg==" saltValue="O+pbIg3gyqMgaS0+l5Nfvg==" spinCount="100000" sheet="1" objects="1" scenarios="1" selectLockedCells="1"/>
  <mergeCells count="21">
    <mergeCell ref="I10:J10"/>
    <mergeCell ref="I11:J11"/>
    <mergeCell ref="A17:C17"/>
    <mergeCell ref="D17:E19"/>
    <mergeCell ref="I21:J21"/>
    <mergeCell ref="H15:J15"/>
    <mergeCell ref="G8:G39"/>
    <mergeCell ref="H8:J8"/>
    <mergeCell ref="H26:J26"/>
    <mergeCell ref="H27:J27"/>
    <mergeCell ref="H31:J31"/>
    <mergeCell ref="H35:J35"/>
    <mergeCell ref="I22:J22"/>
    <mergeCell ref="I25:J25"/>
    <mergeCell ref="A1:C2"/>
    <mergeCell ref="D1:E2"/>
    <mergeCell ref="H1:J1"/>
    <mergeCell ref="D3:E3"/>
    <mergeCell ref="A4:E4"/>
    <mergeCell ref="B3:C3"/>
    <mergeCell ref="G1:G7"/>
  </mergeCells>
  <dataValidations disablePrompts="1" count="1">
    <dataValidation type="whole" errorStyle="warning" allowBlank="1" showInputMessage="1" showErrorMessage="1" errorTitle="Weight Limitation Exceeded" error="You have exceeded the allowable weight limitation of this aircraft." sqref="C12" xr:uid="{00000000-0002-0000-0100-000000000000}">
      <formula1>1472</formula1>
      <formula2>2407</formula2>
    </dataValidation>
  </dataValidations>
  <printOptions horizontalCentered="1" verticalCentered="1"/>
  <pageMargins left="0" right="0" top="0" bottom="0" header="0" footer="0"/>
  <pageSetup orientation="landscape" r:id="rId1"/>
  <headerFooter alignWithMargins="0"/>
  <ignoredErrors>
    <ignoredError sqref="C15 E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</sheetPr>
  <dimension ref="A1:J39"/>
  <sheetViews>
    <sheetView zoomScaleNormal="100" workbookViewId="0">
      <selection activeCell="I2" sqref="I2"/>
    </sheetView>
  </sheetViews>
  <sheetFormatPr defaultRowHeight="12.75" x14ac:dyDescent="0.2"/>
  <cols>
    <col min="1" max="1" width="30.7109375" customWidth="1"/>
    <col min="2" max="5" width="12.7109375" customWidth="1"/>
    <col min="6" max="7" width="3.7109375" customWidth="1"/>
    <col min="8" max="8" width="21.5703125" bestFit="1" customWidth="1"/>
    <col min="9" max="9" width="18.140625" customWidth="1"/>
    <col min="10" max="10" width="5.28515625" bestFit="1" customWidth="1"/>
  </cols>
  <sheetData>
    <row r="1" spans="1:10" ht="15" customHeight="1" thickBot="1" x14ac:dyDescent="0.25">
      <c r="A1" s="192" t="s">
        <v>74</v>
      </c>
      <c r="B1" s="193"/>
      <c r="C1" s="193"/>
      <c r="D1" s="196" t="s">
        <v>92</v>
      </c>
      <c r="E1" s="197"/>
      <c r="F1" s="76"/>
      <c r="G1" s="207" t="s">
        <v>94</v>
      </c>
      <c r="H1" s="189" t="s">
        <v>60</v>
      </c>
      <c r="I1" s="190"/>
      <c r="J1" s="191"/>
    </row>
    <row r="2" spans="1:10" ht="15" customHeight="1" thickBot="1" x14ac:dyDescent="0.25">
      <c r="A2" s="194"/>
      <c r="B2" s="195"/>
      <c r="C2" s="195"/>
      <c r="D2" s="198"/>
      <c r="E2" s="199"/>
      <c r="G2" s="207"/>
      <c r="H2" s="132" t="s">
        <v>61</v>
      </c>
      <c r="I2" s="146">
        <v>0</v>
      </c>
      <c r="J2" s="123" t="s">
        <v>54</v>
      </c>
    </row>
    <row r="3" spans="1:10" ht="15" customHeight="1" thickBot="1" x14ac:dyDescent="0.25">
      <c r="A3" s="152" t="s">
        <v>0</v>
      </c>
      <c r="B3" s="205" t="s">
        <v>83</v>
      </c>
      <c r="C3" s="206"/>
      <c r="D3" s="200">
        <f ca="1">NOW()</f>
        <v>43514.548021064817</v>
      </c>
      <c r="E3" s="201"/>
      <c r="G3" s="207"/>
      <c r="H3" s="133" t="s">
        <v>62</v>
      </c>
      <c r="I3" s="147">
        <v>0</v>
      </c>
      <c r="J3" s="124" t="s">
        <v>54</v>
      </c>
    </row>
    <row r="4" spans="1:10" ht="15" customHeight="1" thickBot="1" x14ac:dyDescent="0.25">
      <c r="A4" s="202" t="str">
        <f>IF((B11-B15)&lt;4.575, "WARNING: CHECK FUEL RESERVE QUANTITY!","")</f>
        <v/>
      </c>
      <c r="B4" s="203"/>
      <c r="C4" s="203"/>
      <c r="D4" s="203"/>
      <c r="E4" s="204"/>
      <c r="G4" s="207"/>
      <c r="H4" s="144" t="s">
        <v>63</v>
      </c>
      <c r="I4" s="148">
        <f>I2+I3</f>
        <v>0</v>
      </c>
      <c r="J4" s="125" t="s">
        <v>54</v>
      </c>
    </row>
    <row r="5" spans="1:10" ht="15" customHeight="1" x14ac:dyDescent="0.2">
      <c r="A5" s="77" t="s">
        <v>1</v>
      </c>
      <c r="B5" s="78" t="s">
        <v>2</v>
      </c>
      <c r="C5" s="78" t="s">
        <v>3</v>
      </c>
      <c r="D5" s="79" t="s">
        <v>4</v>
      </c>
      <c r="E5" s="80" t="s">
        <v>5</v>
      </c>
      <c r="G5" s="207"/>
      <c r="H5" s="110" t="str">
        <f>IF((I5)&gt;120,"EXCEEDED - 120 MAX","Baggage Area 1")</f>
        <v>Baggage Area 1</v>
      </c>
      <c r="I5" s="147">
        <v>5</v>
      </c>
      <c r="J5" s="124" t="s">
        <v>54</v>
      </c>
    </row>
    <row r="6" spans="1:10" ht="15" customHeight="1" x14ac:dyDescent="0.2">
      <c r="A6" s="81" t="s">
        <v>6</v>
      </c>
      <c r="B6" s="82"/>
      <c r="C6" s="151">
        <f>ENVELOPE!$G$35</f>
        <v>1178.7</v>
      </c>
      <c r="D6" s="85">
        <f>ENVELOPE!$H$35</f>
        <v>29.7</v>
      </c>
      <c r="E6" s="83">
        <f>(C6*D6)/1000</f>
        <v>35.007390000000001</v>
      </c>
      <c r="G6" s="207"/>
      <c r="H6" s="110" t="str">
        <f>IF((I6)&gt;40,"EXCEEDED - 40 MAX","Baggage Area 2")</f>
        <v>Baggage Area 2</v>
      </c>
      <c r="I6" s="147">
        <v>5</v>
      </c>
      <c r="J6" s="124" t="s">
        <v>54</v>
      </c>
    </row>
    <row r="7" spans="1:10" ht="15" customHeight="1" thickBot="1" x14ac:dyDescent="0.25">
      <c r="A7" s="81" t="s">
        <v>7</v>
      </c>
      <c r="B7" s="82"/>
      <c r="C7" s="84">
        <f>I4</f>
        <v>0</v>
      </c>
      <c r="D7" s="85">
        <v>39</v>
      </c>
      <c r="E7" s="83">
        <f>(C7*D7)/1000</f>
        <v>0</v>
      </c>
      <c r="G7" s="207"/>
      <c r="H7" s="145" t="str">
        <f>IF((I5+I6)&gt;120,"Baggage Exceeded","Subtotal")</f>
        <v>Subtotal</v>
      </c>
      <c r="I7" s="149">
        <f>IF((I5+I6)&gt;120,"MAX TOTAL - 120",(I5+I6))</f>
        <v>10</v>
      </c>
      <c r="J7" s="126" t="s">
        <v>54</v>
      </c>
    </row>
    <row r="8" spans="1:10" ht="15" customHeight="1" thickBot="1" x14ac:dyDescent="0.25">
      <c r="A8" s="110" t="s">
        <v>79</v>
      </c>
      <c r="B8" s="82"/>
      <c r="C8" s="84">
        <f>I5</f>
        <v>5</v>
      </c>
      <c r="D8" s="85">
        <v>64</v>
      </c>
      <c r="E8" s="83">
        <f>(C8*D8)/1000</f>
        <v>0.32</v>
      </c>
      <c r="G8" s="163" t="s">
        <v>95</v>
      </c>
      <c r="H8" s="164" t="s">
        <v>43</v>
      </c>
      <c r="I8" s="165"/>
      <c r="J8" s="166"/>
    </row>
    <row r="9" spans="1:10" ht="15" customHeight="1" thickBot="1" x14ac:dyDescent="0.25">
      <c r="A9" s="110" t="s">
        <v>80</v>
      </c>
      <c r="B9" s="82"/>
      <c r="C9" s="84">
        <f>I6</f>
        <v>5</v>
      </c>
      <c r="D9" s="85">
        <v>84</v>
      </c>
      <c r="E9" s="83">
        <f>(C9*D9)/1000</f>
        <v>0.42</v>
      </c>
      <c r="G9" s="163"/>
      <c r="H9" s="132" t="s">
        <v>44</v>
      </c>
      <c r="I9" s="93">
        <f>C14</f>
        <v>1330.9</v>
      </c>
      <c r="J9" s="128" t="s">
        <v>54</v>
      </c>
    </row>
    <row r="10" spans="1:10" ht="15" customHeight="1" thickBot="1" x14ac:dyDescent="0.25">
      <c r="A10" s="86" t="s">
        <v>8</v>
      </c>
      <c r="B10" s="87"/>
      <c r="C10" s="88">
        <f>SUM(C6:C9)</f>
        <v>1188.7</v>
      </c>
      <c r="D10" s="89">
        <f>IF(ISERROR((E10/C10)*1000),0,(E10/C10)*1000)</f>
        <v>30.072676032640704</v>
      </c>
      <c r="E10" s="90">
        <f>IF(SUM(C6:C9)&gt;ENVELOPE!$I$4,"OVER WT.",SUM(E6:E9))</f>
        <v>35.747390000000003</v>
      </c>
      <c r="G10" s="163"/>
      <c r="H10" s="133" t="s">
        <v>58</v>
      </c>
      <c r="I10" s="170" t="s">
        <v>56</v>
      </c>
      <c r="J10" s="171"/>
    </row>
    <row r="11" spans="1:10" ht="15" customHeight="1" thickBot="1" x14ac:dyDescent="0.25">
      <c r="A11" s="153" t="s">
        <v>76</v>
      </c>
      <c r="B11" s="50">
        <v>24.5</v>
      </c>
      <c r="C11" s="154">
        <f>IF((B11*6)&gt;318,"EXCEEDED",(B11*6))</f>
        <v>147</v>
      </c>
      <c r="D11" s="155">
        <v>42.176000000000002</v>
      </c>
      <c r="E11" s="156">
        <f>IF(ISERROR((C11*D11)/1000),"EXCEEDED",(C11*D11)/1000)</f>
        <v>6.199872</v>
      </c>
      <c r="G11" s="163"/>
      <c r="H11" s="133" t="s">
        <v>17</v>
      </c>
      <c r="I11" s="170" t="s">
        <v>56</v>
      </c>
      <c r="J11" s="171"/>
    </row>
    <row r="12" spans="1:10" ht="15" customHeight="1" thickBot="1" x14ac:dyDescent="0.25">
      <c r="A12" s="86" t="s">
        <v>9</v>
      </c>
      <c r="B12" s="87"/>
      <c r="C12" s="88">
        <f>SUM(C10:C11)</f>
        <v>1335.7</v>
      </c>
      <c r="D12" s="89">
        <f>IF(ISERROR((E12/C12)*1000),0,(E12/C12)*1000)</f>
        <v>31.40470315190537</v>
      </c>
      <c r="E12" s="90">
        <f>IF(SUM(C10:C11)&lt;=ENVELOPE!$I$4,SUM(E10:E11),IF(C14&gt;ENVELOPE!$I$5,"OVER WT.",SUM(E10:E11)))</f>
        <v>41.947262000000002</v>
      </c>
      <c r="G12" s="163"/>
      <c r="H12" s="134" t="s">
        <v>40</v>
      </c>
      <c r="I12" s="101"/>
      <c r="J12" s="127" t="s">
        <v>59</v>
      </c>
    </row>
    <row r="13" spans="1:10" ht="15" customHeight="1" thickBot="1" x14ac:dyDescent="0.25">
      <c r="A13" s="91" t="s">
        <v>42</v>
      </c>
      <c r="B13" s="143">
        <v>-0.8</v>
      </c>
      <c r="C13" s="138">
        <v>-4.8</v>
      </c>
      <c r="D13" s="92">
        <v>42.176000000000002</v>
      </c>
      <c r="E13" s="95">
        <f>(C13*D13)/1000</f>
        <v>-0.20244480000000001</v>
      </c>
      <c r="G13" s="163"/>
      <c r="H13" s="134" t="s">
        <v>41</v>
      </c>
      <c r="I13" s="101"/>
      <c r="J13" s="127" t="s">
        <v>59</v>
      </c>
    </row>
    <row r="14" spans="1:10" ht="15" customHeight="1" thickBot="1" x14ac:dyDescent="0.25">
      <c r="A14" s="96" t="s">
        <v>78</v>
      </c>
      <c r="B14" s="97"/>
      <c r="C14" s="98">
        <f>SUM(C12:C13)</f>
        <v>1330.9</v>
      </c>
      <c r="D14" s="99">
        <f>IF(ISERROR((E14/C14)*1000),0,(E14/C14)*1000)</f>
        <v>31.36585558644526</v>
      </c>
      <c r="E14" s="100">
        <f>IF(SUM(C12:C13)&gt;ENVELOPE!$I$5,"OVER WT.",SUM(E12:E13))</f>
        <v>41.7448172</v>
      </c>
      <c r="G14" s="163"/>
      <c r="H14" s="133" t="s">
        <v>71</v>
      </c>
      <c r="I14" s="122"/>
      <c r="J14" s="127" t="s">
        <v>72</v>
      </c>
    </row>
    <row r="15" spans="1:10" ht="15" customHeight="1" thickBot="1" x14ac:dyDescent="0.25">
      <c r="A15" s="91" t="s">
        <v>10</v>
      </c>
      <c r="B15" s="50">
        <v>6</v>
      </c>
      <c r="C15" s="94">
        <f>(-B15*6)</f>
        <v>-36</v>
      </c>
      <c r="D15" s="92">
        <v>42.176000000000002</v>
      </c>
      <c r="E15" s="95">
        <f>(C15*D15)/1000</f>
        <v>-1.5183359999999999</v>
      </c>
      <c r="G15" s="163"/>
      <c r="H15" s="186" t="s">
        <v>91</v>
      </c>
      <c r="I15" s="187"/>
      <c r="J15" s="188"/>
    </row>
    <row r="16" spans="1:10" ht="15" customHeight="1" thickBot="1" x14ac:dyDescent="0.25">
      <c r="A16" s="96" t="s">
        <v>11</v>
      </c>
      <c r="B16" s="97"/>
      <c r="C16" s="98">
        <f>SUM(C14:C15)</f>
        <v>1294.9000000000001</v>
      </c>
      <c r="D16" s="99">
        <f>IF(ISERROR((E16/C16)*1000),0,(E16/C16)*1000)</f>
        <v>31.06531871186964</v>
      </c>
      <c r="E16" s="100">
        <f>IF(SUM(C14:C15)&lt;=C10,0,SUM(E14:E15))</f>
        <v>40.226481200000002</v>
      </c>
      <c r="G16" s="163"/>
      <c r="H16" s="135"/>
      <c r="J16" s="129"/>
    </row>
    <row r="17" spans="1:10" ht="15" customHeight="1" thickBot="1" x14ac:dyDescent="0.25">
      <c r="A17" s="167"/>
      <c r="B17" s="168"/>
      <c r="C17" s="169"/>
      <c r="D17" s="175" t="str">
        <f>IF(OR(C14&gt;ENVELOPE!$I$5, C16&lt;=C10), "AIRCRAFT UNSAFE", "")</f>
        <v/>
      </c>
      <c r="E17" s="176"/>
      <c r="G17" s="163"/>
      <c r="H17" s="135"/>
      <c r="J17" s="129"/>
    </row>
    <row r="18" spans="1:10" ht="15" customHeight="1" thickBot="1" x14ac:dyDescent="0.25">
      <c r="A18" s="102" t="str">
        <f>IF(B18&lt;0, "OVERWEIGHT - Remove", "Useful Load Available")</f>
        <v>Useful Load Available</v>
      </c>
      <c r="B18" s="103">
        <f>IF(ISERROR(ENVELOPE!$I$6-$C$14), "ERROR", ENVELOPE!$I$6-$C$14)</f>
        <v>339.09999999999991</v>
      </c>
      <c r="C18" s="104" t="str">
        <f>IF(B18&lt;0, "Lbs Over", "Pounds")</f>
        <v>Pounds</v>
      </c>
      <c r="D18" s="177"/>
      <c r="E18" s="178"/>
      <c r="G18" s="163"/>
      <c r="H18" s="135"/>
      <c r="J18" s="129"/>
    </row>
    <row r="19" spans="1:10" ht="15" customHeight="1" thickBot="1" x14ac:dyDescent="0.25">
      <c r="A19" s="105" t="s">
        <v>77</v>
      </c>
      <c r="B19" s="106">
        <f>IF((104-((ENVELOPE!$I$6-C14)/650)*15&lt;=104),(104-((ENVELOPE!$I$6-C14)/650)*15),104)</f>
        <v>96.174615384615393</v>
      </c>
      <c r="C19" s="107" t="s">
        <v>38</v>
      </c>
      <c r="D19" s="179"/>
      <c r="E19" s="180"/>
      <c r="G19" s="163"/>
      <c r="H19" s="135"/>
      <c r="J19" s="129"/>
    </row>
    <row r="20" spans="1:10" ht="15" customHeight="1" x14ac:dyDescent="0.2">
      <c r="G20" s="163"/>
      <c r="H20" s="4"/>
      <c r="I20" s="16"/>
      <c r="J20" s="130"/>
    </row>
    <row r="21" spans="1:10" ht="15" customHeight="1" x14ac:dyDescent="0.2">
      <c r="G21" s="163"/>
      <c r="H21" s="133" t="s">
        <v>55</v>
      </c>
      <c r="I21" s="170" t="s">
        <v>56</v>
      </c>
      <c r="J21" s="171"/>
    </row>
    <row r="22" spans="1:10" ht="15" customHeight="1" x14ac:dyDescent="0.2">
      <c r="G22" s="163"/>
      <c r="H22" s="133" t="s">
        <v>20</v>
      </c>
      <c r="I22" s="170"/>
      <c r="J22" s="171"/>
    </row>
    <row r="23" spans="1:10" ht="15" customHeight="1" x14ac:dyDescent="0.2">
      <c r="G23" s="163"/>
      <c r="H23" s="133" t="s">
        <v>24</v>
      </c>
      <c r="I23" s="101"/>
      <c r="J23" s="127" t="s">
        <v>53</v>
      </c>
    </row>
    <row r="24" spans="1:10" ht="15" customHeight="1" x14ac:dyDescent="0.2">
      <c r="G24" s="163"/>
      <c r="H24" s="133" t="s">
        <v>25</v>
      </c>
      <c r="I24" s="101"/>
      <c r="J24" s="127" t="s">
        <v>53</v>
      </c>
    </row>
    <row r="25" spans="1:10" ht="15" customHeight="1" thickBot="1" x14ac:dyDescent="0.25">
      <c r="G25" s="163"/>
      <c r="H25" s="162" t="s">
        <v>89</v>
      </c>
      <c r="I25" s="184" t="s">
        <v>90</v>
      </c>
      <c r="J25" s="185"/>
    </row>
    <row r="26" spans="1:10" ht="15" customHeight="1" thickBot="1" x14ac:dyDescent="0.25">
      <c r="G26" s="163"/>
      <c r="H26" s="164" t="s">
        <v>45</v>
      </c>
      <c r="I26" s="165"/>
      <c r="J26" s="166"/>
    </row>
    <row r="27" spans="1:10" ht="15" customHeight="1" x14ac:dyDescent="0.2">
      <c r="G27" s="163"/>
      <c r="H27" s="181" t="s">
        <v>46</v>
      </c>
      <c r="I27" s="182"/>
      <c r="J27" s="183"/>
    </row>
    <row r="28" spans="1:10" ht="15" customHeight="1" x14ac:dyDescent="0.2">
      <c r="G28" s="163"/>
      <c r="H28" s="157" t="s">
        <v>39</v>
      </c>
      <c r="I28" s="101"/>
      <c r="J28" s="127" t="s">
        <v>53</v>
      </c>
    </row>
    <row r="29" spans="1:10" ht="15" customHeight="1" x14ac:dyDescent="0.2">
      <c r="G29" s="163"/>
      <c r="H29" s="157" t="s">
        <v>51</v>
      </c>
      <c r="I29" s="101"/>
      <c r="J29" s="127" t="s">
        <v>53</v>
      </c>
    </row>
    <row r="30" spans="1:10" ht="15" customHeight="1" x14ac:dyDescent="0.2">
      <c r="G30" s="163"/>
      <c r="H30" s="158" t="s">
        <v>86</v>
      </c>
      <c r="I30" s="159" t="s">
        <v>87</v>
      </c>
      <c r="J30" s="127" t="s">
        <v>53</v>
      </c>
    </row>
    <row r="31" spans="1:10" ht="15" customHeight="1" x14ac:dyDescent="0.2">
      <c r="G31" s="163"/>
      <c r="H31" s="172" t="s">
        <v>47</v>
      </c>
      <c r="I31" s="173"/>
      <c r="J31" s="174"/>
    </row>
    <row r="32" spans="1:10" ht="15" customHeight="1" x14ac:dyDescent="0.2">
      <c r="G32" s="163"/>
      <c r="H32" s="157" t="s">
        <v>39</v>
      </c>
      <c r="I32" s="101"/>
      <c r="J32" s="127" t="s">
        <v>53</v>
      </c>
    </row>
    <row r="33" spans="6:10" ht="15" customHeight="1" x14ac:dyDescent="0.2">
      <c r="G33" s="163"/>
      <c r="H33" s="157" t="s">
        <v>51</v>
      </c>
      <c r="I33" s="101"/>
      <c r="J33" s="127" t="s">
        <v>53</v>
      </c>
    </row>
    <row r="34" spans="6:10" ht="15" customHeight="1" thickBot="1" x14ac:dyDescent="0.25">
      <c r="G34" s="163"/>
      <c r="H34" s="160" t="s">
        <v>86</v>
      </c>
      <c r="I34" s="161" t="s">
        <v>88</v>
      </c>
      <c r="J34" s="127" t="s">
        <v>53</v>
      </c>
    </row>
    <row r="35" spans="6:10" ht="15" customHeight="1" thickBot="1" x14ac:dyDescent="0.25">
      <c r="G35" s="163"/>
      <c r="H35" s="164" t="s">
        <v>48</v>
      </c>
      <c r="I35" s="165"/>
      <c r="J35" s="166"/>
    </row>
    <row r="36" spans="6:10" ht="15" customHeight="1" x14ac:dyDescent="0.2">
      <c r="G36" s="163"/>
      <c r="H36" s="136" t="s">
        <v>49</v>
      </c>
      <c r="I36" s="121"/>
      <c r="J36" s="130" t="s">
        <v>52</v>
      </c>
    </row>
    <row r="37" spans="6:10" x14ac:dyDescent="0.2">
      <c r="G37" s="163"/>
      <c r="H37" s="133" t="s">
        <v>70</v>
      </c>
      <c r="I37" s="101"/>
      <c r="J37" s="127" t="s">
        <v>52</v>
      </c>
    </row>
    <row r="38" spans="6:10" x14ac:dyDescent="0.2">
      <c r="G38" s="163"/>
      <c r="H38" s="133" t="s">
        <v>50</v>
      </c>
      <c r="I38" s="101"/>
      <c r="J38" s="127" t="s">
        <v>52</v>
      </c>
    </row>
    <row r="39" spans="6:10" ht="13.5" thickBot="1" x14ac:dyDescent="0.25">
      <c r="F39" s="109"/>
      <c r="G39" s="163"/>
      <c r="H39" s="137" t="s">
        <v>57</v>
      </c>
      <c r="I39" s="108"/>
      <c r="J39" s="131" t="s">
        <v>52</v>
      </c>
    </row>
  </sheetData>
  <sheetProtection algorithmName="SHA-512" hashValue="Ie2byHMN7VFg+rDI7Zaqfzdornqw8uwUINClt6hwbrJe/OCfEANPfvqvoratsbdTauO23d7akQL6+PgqCHOSsA==" saltValue="J7Y4kZhE6hUKd6j/hnz6jA==" spinCount="100000" sheet="1" objects="1" scenarios="1" selectLockedCells="1"/>
  <mergeCells count="21">
    <mergeCell ref="A1:C2"/>
    <mergeCell ref="D1:E2"/>
    <mergeCell ref="H1:J1"/>
    <mergeCell ref="B3:C3"/>
    <mergeCell ref="D3:E3"/>
    <mergeCell ref="A4:E4"/>
    <mergeCell ref="H8:J8"/>
    <mergeCell ref="G1:G7"/>
    <mergeCell ref="G8:G39"/>
    <mergeCell ref="I10:J10"/>
    <mergeCell ref="I11:J11"/>
    <mergeCell ref="A17:C17"/>
    <mergeCell ref="D17:E19"/>
    <mergeCell ref="I21:J21"/>
    <mergeCell ref="H26:J26"/>
    <mergeCell ref="H27:J27"/>
    <mergeCell ref="H31:J31"/>
    <mergeCell ref="H35:J35"/>
    <mergeCell ref="I25:J25"/>
    <mergeCell ref="I22:J22"/>
    <mergeCell ref="H15:J15"/>
  </mergeCells>
  <dataValidations count="1">
    <dataValidation type="whole" errorStyle="warning" allowBlank="1" showInputMessage="1" showErrorMessage="1" errorTitle="Weight Limitation Exceeded" error="You have exceeded the allowable weight limitation of this aircraft." sqref="C12" xr:uid="{00000000-0002-0000-0200-000000000000}">
      <formula1>1472</formula1>
      <formula2>2407</formula2>
    </dataValidation>
  </dataValidations>
  <printOptions horizontalCentered="1" verticalCentered="1"/>
  <pageMargins left="0" right="0" top="0" bottom="0" header="0" footer="0"/>
  <pageSetup orientation="landscape" r:id="rId1"/>
  <headerFooter alignWithMargins="0"/>
  <ignoredErrors>
    <ignoredError sqref="C15 E14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J89"/>
  <sheetViews>
    <sheetView workbookViewId="0">
      <selection activeCell="I36" sqref="I36"/>
    </sheetView>
  </sheetViews>
  <sheetFormatPr defaultRowHeight="12.75" x14ac:dyDescent="0.2"/>
  <cols>
    <col min="5" max="5" width="5.7109375" customWidth="1"/>
    <col min="6" max="6" width="29.28515625" bestFit="1" customWidth="1"/>
    <col min="7" max="10" width="8.7109375" customWidth="1"/>
  </cols>
  <sheetData>
    <row r="1" spans="1:10" ht="13.5" thickBot="1" x14ac:dyDescent="0.25">
      <c r="A1" s="215"/>
      <c r="B1" s="216"/>
      <c r="C1" s="217" t="s">
        <v>81</v>
      </c>
      <c r="D1" s="218"/>
      <c r="E1" s="1"/>
    </row>
    <row r="2" spans="1:10" ht="13.5" thickBot="1" x14ac:dyDescent="0.25">
      <c r="A2" s="49" t="s">
        <v>28</v>
      </c>
      <c r="B2" s="38" t="s">
        <v>3</v>
      </c>
      <c r="C2" s="35" t="s">
        <v>29</v>
      </c>
      <c r="D2" s="34" t="s">
        <v>27</v>
      </c>
      <c r="E2" s="1"/>
      <c r="F2" s="31"/>
      <c r="G2" s="217" t="s">
        <v>31</v>
      </c>
      <c r="H2" s="219"/>
      <c r="I2" s="217" t="s">
        <v>30</v>
      </c>
      <c r="J2" s="218"/>
    </row>
    <row r="3" spans="1:10" ht="13.5" thickBot="1" x14ac:dyDescent="0.25">
      <c r="A3" s="112"/>
      <c r="B3" s="113">
        <v>1000</v>
      </c>
      <c r="C3" s="114">
        <v>31</v>
      </c>
      <c r="D3" s="46">
        <v>36.5</v>
      </c>
      <c r="E3" s="30"/>
      <c r="F3" s="22"/>
      <c r="G3" s="35" t="s">
        <v>35</v>
      </c>
      <c r="H3" s="38" t="s">
        <v>28</v>
      </c>
      <c r="I3" s="33" t="s">
        <v>35</v>
      </c>
      <c r="J3" s="34" t="s">
        <v>28</v>
      </c>
    </row>
    <row r="4" spans="1:10" x14ac:dyDescent="0.2">
      <c r="A4" s="59"/>
      <c r="B4" s="58">
        <v>1010</v>
      </c>
      <c r="C4" s="57">
        <v>31</v>
      </c>
      <c r="D4" s="47">
        <v>36.5</v>
      </c>
      <c r="E4" s="30"/>
      <c r="F4" s="39" t="s">
        <v>32</v>
      </c>
      <c r="G4" s="40"/>
      <c r="H4" s="41"/>
      <c r="I4" s="42">
        <v>1675</v>
      </c>
      <c r="J4" s="43"/>
    </row>
    <row r="5" spans="1:10" ht="13.5" thickBot="1" x14ac:dyDescent="0.25">
      <c r="A5" s="59"/>
      <c r="B5" s="58">
        <v>1020</v>
      </c>
      <c r="C5" s="57">
        <v>31</v>
      </c>
      <c r="D5" s="47">
        <v>36.5</v>
      </c>
      <c r="E5" s="30"/>
      <c r="F5" s="118" t="s">
        <v>33</v>
      </c>
      <c r="G5" s="120"/>
      <c r="H5" s="23"/>
      <c r="I5" s="119">
        <v>1670</v>
      </c>
      <c r="J5" s="24"/>
    </row>
    <row r="6" spans="1:10" x14ac:dyDescent="0.2">
      <c r="A6" s="59"/>
      <c r="B6" s="58">
        <v>1030</v>
      </c>
      <c r="C6" s="57">
        <v>31</v>
      </c>
      <c r="D6" s="47">
        <v>36.5</v>
      </c>
      <c r="E6" s="30"/>
      <c r="F6" s="32" t="s">
        <v>33</v>
      </c>
      <c r="G6" s="36"/>
      <c r="H6" s="52"/>
      <c r="I6">
        <v>1670</v>
      </c>
      <c r="J6" s="54">
        <v>32.65</v>
      </c>
    </row>
    <row r="7" spans="1:10" x14ac:dyDescent="0.2">
      <c r="A7" s="59"/>
      <c r="B7" s="58">
        <v>1040</v>
      </c>
      <c r="C7" s="57">
        <v>31</v>
      </c>
      <c r="D7" s="47">
        <v>36.5</v>
      </c>
      <c r="E7" s="30"/>
      <c r="F7" s="44"/>
      <c r="G7" s="45"/>
      <c r="H7" s="51"/>
      <c r="I7" s="16">
        <v>1670</v>
      </c>
      <c r="J7" s="55">
        <v>36.5</v>
      </c>
    </row>
    <row r="8" spans="1:10" x14ac:dyDescent="0.2">
      <c r="A8" s="59"/>
      <c r="B8" s="58">
        <v>1050</v>
      </c>
      <c r="C8" s="57">
        <v>31</v>
      </c>
      <c r="D8" s="47">
        <v>36.5</v>
      </c>
      <c r="E8" s="30"/>
      <c r="F8" s="32" t="s">
        <v>34</v>
      </c>
      <c r="G8" s="36"/>
      <c r="H8" s="52"/>
      <c r="I8">
        <v>1670</v>
      </c>
      <c r="J8" s="54">
        <v>36.5</v>
      </c>
    </row>
    <row r="9" spans="1:10" ht="13.5" thickBot="1" x14ac:dyDescent="0.25">
      <c r="A9" s="59"/>
      <c r="B9" s="58">
        <v>1060</v>
      </c>
      <c r="C9" s="57">
        <v>31</v>
      </c>
      <c r="D9" s="47">
        <v>36.5</v>
      </c>
      <c r="E9" s="30"/>
      <c r="F9" s="22"/>
      <c r="G9" s="37"/>
      <c r="H9" s="53"/>
      <c r="I9" s="23">
        <v>1670</v>
      </c>
      <c r="J9" s="56">
        <v>36.5</v>
      </c>
    </row>
    <row r="10" spans="1:10" ht="13.5" thickBot="1" x14ac:dyDescent="0.25">
      <c r="A10" s="59"/>
      <c r="B10" s="58">
        <v>1070</v>
      </c>
      <c r="C10" s="57">
        <v>31</v>
      </c>
      <c r="D10" s="47">
        <v>36.5</v>
      </c>
      <c r="E10" s="30"/>
    </row>
    <row r="11" spans="1:10" x14ac:dyDescent="0.2">
      <c r="A11" s="59"/>
      <c r="B11" s="58">
        <v>1080</v>
      </c>
      <c r="C11" s="57">
        <v>31</v>
      </c>
      <c r="D11" s="47">
        <v>36.5</v>
      </c>
      <c r="E11" s="30"/>
      <c r="F11" s="208" t="s">
        <v>75</v>
      </c>
      <c r="G11" s="209"/>
      <c r="H11" s="209"/>
      <c r="I11" s="210"/>
    </row>
    <row r="12" spans="1:10" ht="13.5" thickBot="1" x14ac:dyDescent="0.25">
      <c r="A12" s="59"/>
      <c r="B12" s="58">
        <v>1090</v>
      </c>
      <c r="C12" s="57">
        <v>31</v>
      </c>
      <c r="D12" s="47">
        <v>36.5</v>
      </c>
      <c r="E12" s="30"/>
      <c r="F12" s="49" t="s">
        <v>37</v>
      </c>
      <c r="G12" s="60" t="s">
        <v>35</v>
      </c>
      <c r="H12" s="61" t="s">
        <v>28</v>
      </c>
      <c r="I12" s="34" t="s">
        <v>36</v>
      </c>
    </row>
    <row r="13" spans="1:10" x14ac:dyDescent="0.2">
      <c r="A13" s="59"/>
      <c r="B13" s="58">
        <v>1100</v>
      </c>
      <c r="C13" s="57">
        <v>31</v>
      </c>
      <c r="D13" s="47">
        <v>36.5</v>
      </c>
      <c r="E13" s="30"/>
      <c r="F13" s="65" t="str">
        <f>N757AD!$A$6</f>
        <v>Basic Empty Weight</v>
      </c>
      <c r="G13" s="114">
        <v>1152.1199999999999</v>
      </c>
      <c r="H13" s="62">
        <v>29.83</v>
      </c>
      <c r="I13" s="46">
        <f>N757AD!$E$6</f>
        <v>34.367739599999993</v>
      </c>
    </row>
    <row r="14" spans="1:10" x14ac:dyDescent="0.2">
      <c r="A14" s="59"/>
      <c r="B14" s="58">
        <v>1110</v>
      </c>
      <c r="C14" s="57">
        <v>31</v>
      </c>
      <c r="D14" s="47">
        <v>36.5</v>
      </c>
      <c r="E14" s="30"/>
      <c r="F14" s="66" t="str">
        <f>N757AD!$A$7</f>
        <v>Pilot + Front Seat Occupant</v>
      </c>
      <c r="G14" s="57">
        <f>$G$13+N757AD!$C$7</f>
        <v>1152.1199999999999</v>
      </c>
      <c r="H14" s="63">
        <f>($I$14*1000)/$G$14</f>
        <v>29.83</v>
      </c>
      <c r="I14" s="47">
        <f>$I$13+N757AD!$E$7</f>
        <v>34.367739599999993</v>
      </c>
    </row>
    <row r="15" spans="1:10" x14ac:dyDescent="0.2">
      <c r="A15" s="59"/>
      <c r="B15" s="58">
        <v>1120</v>
      </c>
      <c r="C15" s="57">
        <v>31</v>
      </c>
      <c r="D15" s="47">
        <v>36.5</v>
      </c>
      <c r="E15" s="30"/>
      <c r="F15" s="66" t="str">
        <f>N757AD!$A$8</f>
        <v>Baggage Area 1 (Max 120 Lbs)</v>
      </c>
      <c r="G15" s="57">
        <f>$G$14+N757AD!$C$8</f>
        <v>1157.1199999999999</v>
      </c>
      <c r="H15" s="63">
        <f>($I$15*1000)/$G$15</f>
        <v>29.977651064712386</v>
      </c>
      <c r="I15" s="47">
        <f>$I$14+N757AD!$E$8</f>
        <v>34.687739599999993</v>
      </c>
    </row>
    <row r="16" spans="1:10" x14ac:dyDescent="0.2">
      <c r="A16" s="59"/>
      <c r="B16" s="58">
        <v>1130</v>
      </c>
      <c r="C16" s="57">
        <v>31</v>
      </c>
      <c r="D16" s="47">
        <v>36.5</v>
      </c>
      <c r="E16" s="30"/>
      <c r="F16" s="66" t="str">
        <f>N757AD!$A$9</f>
        <v>Baggage Area 2 (Max 40 Lbs)</v>
      </c>
      <c r="G16" s="57">
        <f>$G$15+N757AD!$C$9</f>
        <v>1162.1199999999999</v>
      </c>
      <c r="H16" s="63">
        <f>($I$16*1000)/$G$16</f>
        <v>30.210081230853955</v>
      </c>
      <c r="I16" s="47">
        <f>$I$15+N757AD!$E$9</f>
        <v>35.107739599999995</v>
      </c>
    </row>
    <row r="17" spans="1:9" x14ac:dyDescent="0.2">
      <c r="A17" s="59"/>
      <c r="B17" s="58">
        <v>1140</v>
      </c>
      <c r="C17" s="57">
        <v>31</v>
      </c>
      <c r="D17" s="47">
        <v>36.5</v>
      </c>
      <c r="E17" s="30"/>
      <c r="F17" s="66" t="str">
        <f>N757AD!$A$11</f>
        <v>Fuel Load (Max 24.5 Gal Usable)</v>
      </c>
      <c r="G17" s="57">
        <f>$G$16+N757AD!$C$11</f>
        <v>1309.1199999999999</v>
      </c>
      <c r="H17" s="63">
        <f>($I$17*1000)/$G$17</f>
        <v>31.553724333903691</v>
      </c>
      <c r="I17" s="47">
        <f>$I$16+N757AD!$E$11</f>
        <v>41.307611599999994</v>
      </c>
    </row>
    <row r="18" spans="1:9" x14ac:dyDescent="0.2">
      <c r="A18" s="59"/>
      <c r="B18" s="58">
        <v>1150</v>
      </c>
      <c r="C18" s="57">
        <v>31</v>
      </c>
      <c r="D18" s="47">
        <v>36.5</v>
      </c>
      <c r="E18" s="30"/>
      <c r="F18" s="66" t="str">
        <f>N757AD!$A$14</f>
        <v>TO Condition (Max 1670 Lbs)</v>
      </c>
      <c r="G18" s="57">
        <f>N757AD!$C$14</f>
        <v>1304.32</v>
      </c>
      <c r="H18" s="63">
        <f>N757AD!$D$14</f>
        <v>31.514633525515208</v>
      </c>
      <c r="I18" s="47">
        <f>N757AD!$E$14</f>
        <v>41.105166799999992</v>
      </c>
    </row>
    <row r="19" spans="1:9" ht="13.5" thickBot="1" x14ac:dyDescent="0.25">
      <c r="A19" s="59"/>
      <c r="B19" s="58">
        <v>1160</v>
      </c>
      <c r="C19" s="57">
        <v>31</v>
      </c>
      <c r="D19" s="47">
        <v>36.5</v>
      </c>
      <c r="E19" s="30"/>
      <c r="F19" s="67" t="str">
        <f>N757AD!$A$16</f>
        <v>Landing Condition</v>
      </c>
      <c r="G19" s="150">
        <f>N757AD!$C$16</f>
        <v>1268.32</v>
      </c>
      <c r="H19" s="64">
        <f>N757AD!$D$16</f>
        <v>31.212021256465242</v>
      </c>
      <c r="I19" s="48">
        <f>N757AD!$E$16</f>
        <v>39.586830799999994</v>
      </c>
    </row>
    <row r="20" spans="1:9" ht="13.5" thickBot="1" x14ac:dyDescent="0.25">
      <c r="A20" s="59"/>
      <c r="B20" s="58">
        <v>1170</v>
      </c>
      <c r="C20" s="57">
        <v>31</v>
      </c>
      <c r="D20" s="47">
        <v>36.5</v>
      </c>
      <c r="E20" s="30"/>
      <c r="F20" s="211" t="s">
        <v>82</v>
      </c>
      <c r="G20" s="212"/>
      <c r="H20" s="213">
        <v>41263</v>
      </c>
      <c r="I20" s="214"/>
    </row>
    <row r="21" spans="1:9" ht="13.5" thickBot="1" x14ac:dyDescent="0.25">
      <c r="A21" s="59"/>
      <c r="B21" s="58">
        <v>1180</v>
      </c>
      <c r="C21" s="57">
        <v>31</v>
      </c>
      <c r="D21" s="47">
        <v>36.5</v>
      </c>
      <c r="E21" s="30"/>
    </row>
    <row r="22" spans="1:9" x14ac:dyDescent="0.2">
      <c r="A22" s="59"/>
      <c r="B22" s="58">
        <v>1190</v>
      </c>
      <c r="C22" s="57">
        <v>31</v>
      </c>
      <c r="D22" s="47">
        <v>36.5</v>
      </c>
      <c r="E22" s="30"/>
      <c r="F22" s="208" t="s">
        <v>85</v>
      </c>
      <c r="G22" s="209"/>
      <c r="H22" s="209"/>
      <c r="I22" s="210"/>
    </row>
    <row r="23" spans="1:9" ht="13.5" thickBot="1" x14ac:dyDescent="0.25">
      <c r="A23" s="59"/>
      <c r="B23" s="58">
        <v>1200</v>
      </c>
      <c r="C23" s="57">
        <v>31</v>
      </c>
      <c r="D23" s="47">
        <v>36.5</v>
      </c>
      <c r="E23" s="30"/>
      <c r="F23" s="49" t="s">
        <v>37</v>
      </c>
      <c r="G23" s="60" t="s">
        <v>35</v>
      </c>
      <c r="H23" s="61" t="s">
        <v>28</v>
      </c>
      <c r="I23" s="34" t="s">
        <v>36</v>
      </c>
    </row>
    <row r="24" spans="1:9" x14ac:dyDescent="0.2">
      <c r="A24" s="59"/>
      <c r="B24" s="58">
        <v>1210</v>
      </c>
      <c r="C24" s="57">
        <v>31</v>
      </c>
      <c r="D24" s="47">
        <v>36.5</v>
      </c>
      <c r="E24" s="30"/>
      <c r="F24" s="65" t="str">
        <f>N798LA!$A$6</f>
        <v>Basic Empty Weight</v>
      </c>
      <c r="G24" s="114">
        <v>1158.08</v>
      </c>
      <c r="H24" s="62">
        <v>30.02</v>
      </c>
      <c r="I24" s="46">
        <f>N798LA!$E$6</f>
        <v>34.765561599999998</v>
      </c>
    </row>
    <row r="25" spans="1:9" x14ac:dyDescent="0.2">
      <c r="A25" s="59"/>
      <c r="B25" s="58">
        <v>1220</v>
      </c>
      <c r="C25" s="57">
        <v>31</v>
      </c>
      <c r="D25" s="47">
        <v>36.5</v>
      </c>
      <c r="E25" s="30"/>
      <c r="F25" s="66" t="str">
        <f>N798LA!$A$7</f>
        <v>Pilot + Front Seat Occupant</v>
      </c>
      <c r="G25" s="57">
        <f>$G$24+N798LA!$C$7</f>
        <v>1158.08</v>
      </c>
      <c r="H25" s="63">
        <f>($I$25*1000)/$G$25</f>
        <v>30.020000000000003</v>
      </c>
      <c r="I25" s="47">
        <f>$I$24+N798LA!$E$7</f>
        <v>34.765561599999998</v>
      </c>
    </row>
    <row r="26" spans="1:9" x14ac:dyDescent="0.2">
      <c r="A26" s="59"/>
      <c r="B26" s="58">
        <v>1230</v>
      </c>
      <c r="C26" s="57">
        <v>31</v>
      </c>
      <c r="D26" s="47">
        <v>36.5</v>
      </c>
      <c r="E26" s="30"/>
      <c r="F26" s="66" t="str">
        <f>N798LA!$A$8</f>
        <v>Baggage Area 1 (Max 120 Lbs)</v>
      </c>
      <c r="G26" s="57">
        <f>$G$25+N798LA!$C$8</f>
        <v>1163.08</v>
      </c>
      <c r="H26" s="63">
        <f>($I$26*1000)/$G$26</f>
        <v>30.166077655879221</v>
      </c>
      <c r="I26" s="47">
        <f>$I$25+N798LA!$E$8</f>
        <v>35.085561599999998</v>
      </c>
    </row>
    <row r="27" spans="1:9" x14ac:dyDescent="0.2">
      <c r="A27" s="59"/>
      <c r="B27" s="58">
        <v>1240</v>
      </c>
      <c r="C27" s="57">
        <v>31</v>
      </c>
      <c r="D27" s="47">
        <v>36.5</v>
      </c>
      <c r="E27" s="30"/>
      <c r="F27" s="66" t="str">
        <f>N798LA!$A$9</f>
        <v>Baggage Area 2 (Max 40 Lbs)</v>
      </c>
      <c r="G27" s="57">
        <f>$G$26+N798LA!$C$9</f>
        <v>1168.08</v>
      </c>
      <c r="H27" s="63">
        <f>($I$27*1000)/$G$27</f>
        <v>30.396515307170745</v>
      </c>
      <c r="I27" s="47">
        <f>$I$26+N798LA!$E$9</f>
        <v>35.5055616</v>
      </c>
    </row>
    <row r="28" spans="1:9" x14ac:dyDescent="0.2">
      <c r="A28" s="59"/>
      <c r="B28" s="58">
        <v>1250</v>
      </c>
      <c r="C28" s="57">
        <v>31</v>
      </c>
      <c r="D28" s="47">
        <v>36.5</v>
      </c>
      <c r="E28" s="30"/>
      <c r="F28" s="66" t="str">
        <f>N798LA!$A$11</f>
        <v>Fuel Load (Max 24.5 Gal Usable)</v>
      </c>
      <c r="G28" s="57">
        <f>$G$27+N798LA!$C$11</f>
        <v>1315.08</v>
      </c>
      <c r="H28" s="63">
        <f>($I$28*1000)/$G$28</f>
        <v>31.713229309243545</v>
      </c>
      <c r="I28" s="47">
        <f>$I$27+N798LA!$E$11</f>
        <v>41.705433599999999</v>
      </c>
    </row>
    <row r="29" spans="1:9" x14ac:dyDescent="0.2">
      <c r="A29" s="59"/>
      <c r="B29" s="58">
        <v>1260</v>
      </c>
      <c r="C29" s="57">
        <v>31</v>
      </c>
      <c r="D29" s="47">
        <v>36.5</v>
      </c>
      <c r="E29" s="30"/>
      <c r="F29" s="66" t="str">
        <f>N798LA!$A$14</f>
        <v>TO Condition (Max 1670 Lbs)</v>
      </c>
      <c r="G29" s="57">
        <f>N798LA!$C$14</f>
        <v>1310.28</v>
      </c>
      <c r="H29" s="63">
        <f>N798LA!$D$14</f>
        <v>31.674900631925997</v>
      </c>
      <c r="I29" s="47">
        <f>N798LA!$E$14</f>
        <v>41.502988799999997</v>
      </c>
    </row>
    <row r="30" spans="1:9" ht="13.5" thickBot="1" x14ac:dyDescent="0.25">
      <c r="A30" s="59"/>
      <c r="B30" s="58">
        <v>1270</v>
      </c>
      <c r="C30" s="57">
        <v>31</v>
      </c>
      <c r="D30" s="47">
        <v>36.5</v>
      </c>
      <c r="E30" s="30"/>
      <c r="F30" s="67" t="str">
        <f>N798LA!$A$16</f>
        <v>Landing Condition</v>
      </c>
      <c r="G30" s="150">
        <f>N798LA!$C$16</f>
        <v>1274.28</v>
      </c>
      <c r="H30" s="64">
        <f>N798LA!$D$16</f>
        <v>31.378231471890004</v>
      </c>
      <c r="I30" s="48">
        <f>N798LA!$E$16</f>
        <v>39.984652799999999</v>
      </c>
    </row>
    <row r="31" spans="1:9" ht="13.5" thickBot="1" x14ac:dyDescent="0.25">
      <c r="A31" s="59"/>
      <c r="B31" s="58">
        <v>1280</v>
      </c>
      <c r="C31" s="57">
        <v>31</v>
      </c>
      <c r="D31" s="47">
        <v>36.5</v>
      </c>
      <c r="E31" s="30"/>
      <c r="F31" s="211" t="s">
        <v>82</v>
      </c>
      <c r="G31" s="212"/>
      <c r="H31" s="213">
        <v>41764</v>
      </c>
      <c r="I31" s="214"/>
    </row>
    <row r="32" spans="1:9" ht="13.5" thickBot="1" x14ac:dyDescent="0.25">
      <c r="A32" s="59"/>
      <c r="B32" s="58">
        <v>1290</v>
      </c>
      <c r="C32" s="57">
        <v>31</v>
      </c>
      <c r="D32" s="47">
        <v>36.5</v>
      </c>
      <c r="E32" s="30"/>
    </row>
    <row r="33" spans="1:9" x14ac:dyDescent="0.2">
      <c r="A33" s="59"/>
      <c r="B33" s="58">
        <v>1300</v>
      </c>
      <c r="C33" s="57">
        <v>31</v>
      </c>
      <c r="D33" s="47">
        <v>36.5</v>
      </c>
      <c r="E33" s="30"/>
      <c r="F33" s="208" t="s">
        <v>93</v>
      </c>
      <c r="G33" s="209"/>
      <c r="H33" s="209"/>
      <c r="I33" s="210"/>
    </row>
    <row r="34" spans="1:9" ht="13.5" thickBot="1" x14ac:dyDescent="0.25">
      <c r="A34" s="59"/>
      <c r="B34" s="58">
        <v>1310</v>
      </c>
      <c r="C34" s="57">
        <v>31</v>
      </c>
      <c r="D34" s="47">
        <v>36.5</v>
      </c>
      <c r="E34" s="30"/>
      <c r="F34" s="49" t="s">
        <v>37</v>
      </c>
      <c r="G34" s="60" t="s">
        <v>35</v>
      </c>
      <c r="H34" s="61" t="s">
        <v>28</v>
      </c>
      <c r="I34" s="34" t="s">
        <v>36</v>
      </c>
    </row>
    <row r="35" spans="1:9" x14ac:dyDescent="0.2">
      <c r="A35" s="59"/>
      <c r="B35" s="58">
        <v>1320</v>
      </c>
      <c r="C35" s="57">
        <v>31</v>
      </c>
      <c r="D35" s="47">
        <v>36.5</v>
      </c>
      <c r="E35" s="30"/>
      <c r="F35" s="65" t="str">
        <f>'N65199'!$A$6</f>
        <v>Basic Empty Weight</v>
      </c>
      <c r="G35" s="114">
        <v>1178.7</v>
      </c>
      <c r="H35" s="62">
        <v>29.7</v>
      </c>
      <c r="I35" s="46">
        <f>'N65199'!$E$6</f>
        <v>35.007390000000001</v>
      </c>
    </row>
    <row r="36" spans="1:9" x14ac:dyDescent="0.2">
      <c r="A36" s="59"/>
      <c r="B36" s="58">
        <v>1330</v>
      </c>
      <c r="C36" s="57">
        <v>31</v>
      </c>
      <c r="D36" s="47">
        <v>36.5</v>
      </c>
      <c r="E36" s="30"/>
      <c r="F36" s="66" t="str">
        <f>'N65199'!$A$7</f>
        <v>Pilot + Front Seat Occupant</v>
      </c>
      <c r="G36" s="57">
        <f>$G$35+'N65199'!$C$7</f>
        <v>1178.7</v>
      </c>
      <c r="H36" s="63">
        <f>($I$36*1000)/$G$36</f>
        <v>29.7</v>
      </c>
      <c r="I36" s="47">
        <f>$I$35+'N65199'!$E$7</f>
        <v>35.007390000000001</v>
      </c>
    </row>
    <row r="37" spans="1:9" x14ac:dyDescent="0.2">
      <c r="A37" s="59"/>
      <c r="B37" s="58">
        <v>1340</v>
      </c>
      <c r="C37" s="57">
        <v>31</v>
      </c>
      <c r="D37" s="47">
        <v>36.5</v>
      </c>
      <c r="E37" s="30"/>
      <c r="F37" s="66" t="str">
        <f>'N65199'!$A$8</f>
        <v>Baggage Area 1 (Max 120 Lbs)</v>
      </c>
      <c r="G37" s="57">
        <f>$G$36+'N65199'!$C$8</f>
        <v>1183.7</v>
      </c>
      <c r="H37" s="63">
        <f>($I$37*1000)/$G$37</f>
        <v>29.84488468361916</v>
      </c>
      <c r="I37" s="47">
        <f>$I$36+'N65199'!$E$8</f>
        <v>35.327390000000001</v>
      </c>
    </row>
    <row r="38" spans="1:9" x14ac:dyDescent="0.2">
      <c r="A38" s="139"/>
      <c r="B38" s="140">
        <v>1350</v>
      </c>
      <c r="C38" s="111">
        <v>31</v>
      </c>
      <c r="D38" s="117">
        <v>36.5</v>
      </c>
      <c r="E38" s="30"/>
      <c r="F38" s="66" t="str">
        <f>'N65199'!$A$9</f>
        <v>Baggage Area 2 (Max 40 Lbs)</v>
      </c>
      <c r="G38" s="57">
        <f>$G$37+'N65199'!$C$9</f>
        <v>1188.7</v>
      </c>
      <c r="H38" s="63">
        <f>($I$38*1000)/$G$38</f>
        <v>30.072676032640697</v>
      </c>
      <c r="I38" s="47">
        <f>$I$37+'N65199'!$E$9</f>
        <v>35.747390000000003</v>
      </c>
    </row>
    <row r="39" spans="1:9" x14ac:dyDescent="0.2">
      <c r="A39" s="59"/>
      <c r="B39" s="58">
        <v>1360</v>
      </c>
      <c r="C39" s="57">
        <v>31.051562499999999</v>
      </c>
      <c r="D39" s="47">
        <v>36.5</v>
      </c>
      <c r="E39" s="30"/>
      <c r="F39" s="66" t="str">
        <f>'N65199'!$A$11</f>
        <v>Fuel Load (Max 24.5 Gal Usable)</v>
      </c>
      <c r="G39" s="57">
        <f>$G$38+'N65199'!$C$11</f>
        <v>1335.7</v>
      </c>
      <c r="H39" s="63">
        <f>($I$39*1000)/$G$39</f>
        <v>31.40470315190537</v>
      </c>
      <c r="I39" s="47">
        <f>$I$38+'N65199'!$E$11</f>
        <v>41.947262000000002</v>
      </c>
    </row>
    <row r="40" spans="1:9" x14ac:dyDescent="0.2">
      <c r="A40" s="59"/>
      <c r="B40" s="58">
        <v>1370</v>
      </c>
      <c r="C40" s="57">
        <v>31.103124999999999</v>
      </c>
      <c r="D40" s="47">
        <v>36.5</v>
      </c>
      <c r="E40" s="30"/>
      <c r="F40" s="66" t="str">
        <f>'N65199'!$A$14</f>
        <v>TO Condition (Max 1670 Lbs)</v>
      </c>
      <c r="G40" s="57">
        <f>'N65199'!$C$14</f>
        <v>1330.9</v>
      </c>
      <c r="H40" s="63">
        <f>'N65199'!$D$14</f>
        <v>31.36585558644526</v>
      </c>
      <c r="I40" s="47">
        <f>'N65199'!$E$14</f>
        <v>41.7448172</v>
      </c>
    </row>
    <row r="41" spans="1:9" ht="13.5" thickBot="1" x14ac:dyDescent="0.25">
      <c r="A41" s="59"/>
      <c r="B41" s="58">
        <v>1380</v>
      </c>
      <c r="C41" s="57">
        <v>31.154687500000001</v>
      </c>
      <c r="D41" s="47">
        <v>36.5</v>
      </c>
      <c r="E41" s="30"/>
      <c r="F41" s="67" t="str">
        <f>'N65199'!$A$16</f>
        <v>Landing Condition</v>
      </c>
      <c r="G41" s="150">
        <f>'N65199'!$C$16</f>
        <v>1294.9000000000001</v>
      </c>
      <c r="H41" s="64">
        <f>'N65199'!$D$16</f>
        <v>31.06531871186964</v>
      </c>
      <c r="I41" s="48">
        <f>'N65199'!$E$16</f>
        <v>40.226481200000002</v>
      </c>
    </row>
    <row r="42" spans="1:9" ht="13.5" thickBot="1" x14ac:dyDescent="0.25">
      <c r="A42" s="59"/>
      <c r="B42" s="58">
        <v>1390</v>
      </c>
      <c r="C42" s="57">
        <v>31.206250000000001</v>
      </c>
      <c r="D42" s="47">
        <v>36.5</v>
      </c>
      <c r="E42" s="30"/>
      <c r="F42" s="211" t="s">
        <v>82</v>
      </c>
      <c r="G42" s="212"/>
      <c r="H42" s="213">
        <v>42526</v>
      </c>
      <c r="I42" s="214"/>
    </row>
    <row r="43" spans="1:9" x14ac:dyDescent="0.2">
      <c r="A43" s="59"/>
      <c r="B43" s="58">
        <v>1400</v>
      </c>
      <c r="C43" s="57">
        <v>31.2578125</v>
      </c>
      <c r="D43" s="47">
        <v>36.5</v>
      </c>
      <c r="E43" s="30"/>
    </row>
    <row r="44" spans="1:9" x14ac:dyDescent="0.2">
      <c r="A44" s="59"/>
      <c r="B44" s="58">
        <v>1410</v>
      </c>
      <c r="C44" s="57">
        <v>31.309374999999999</v>
      </c>
      <c r="D44" s="47">
        <v>36.5</v>
      </c>
      <c r="E44" s="30"/>
    </row>
    <row r="45" spans="1:9" x14ac:dyDescent="0.2">
      <c r="A45" s="59"/>
      <c r="B45" s="58">
        <v>1420</v>
      </c>
      <c r="C45" s="57">
        <v>31.360937499999999</v>
      </c>
      <c r="D45" s="47">
        <v>36.5</v>
      </c>
      <c r="E45" s="30"/>
    </row>
    <row r="46" spans="1:9" x14ac:dyDescent="0.2">
      <c r="A46" s="59"/>
      <c r="B46" s="58">
        <v>1430</v>
      </c>
      <c r="C46" s="57">
        <v>31.412500000000001</v>
      </c>
      <c r="D46" s="47">
        <v>36.5</v>
      </c>
      <c r="E46" s="30"/>
    </row>
    <row r="47" spans="1:9" x14ac:dyDescent="0.2">
      <c r="A47" s="59"/>
      <c r="B47" s="58">
        <v>1440</v>
      </c>
      <c r="C47" s="57">
        <v>31.464062500000001</v>
      </c>
      <c r="D47" s="47">
        <v>36.5</v>
      </c>
      <c r="E47" s="30"/>
    </row>
    <row r="48" spans="1:9" x14ac:dyDescent="0.2">
      <c r="A48" s="59"/>
      <c r="B48" s="58">
        <v>1450</v>
      </c>
      <c r="C48" s="57">
        <v>31.515625</v>
      </c>
      <c r="D48" s="47">
        <v>36.5</v>
      </c>
      <c r="E48" s="30"/>
    </row>
    <row r="49" spans="1:5" x14ac:dyDescent="0.2">
      <c r="A49" s="59"/>
      <c r="B49" s="58">
        <v>1460</v>
      </c>
      <c r="C49" s="57">
        <v>31.567187499999999</v>
      </c>
      <c r="D49" s="47">
        <v>36.5</v>
      </c>
      <c r="E49" s="30"/>
    </row>
    <row r="50" spans="1:5" x14ac:dyDescent="0.2">
      <c r="A50" s="59"/>
      <c r="B50" s="58">
        <v>1470</v>
      </c>
      <c r="C50" s="57">
        <v>31.618749999999999</v>
      </c>
      <c r="D50" s="47">
        <v>36.5</v>
      </c>
      <c r="E50" s="30"/>
    </row>
    <row r="51" spans="1:5" x14ac:dyDescent="0.2">
      <c r="A51" s="59"/>
      <c r="B51" s="58">
        <v>1480</v>
      </c>
      <c r="C51" s="57">
        <v>31.670312500000001</v>
      </c>
      <c r="D51" s="47">
        <v>36.5</v>
      </c>
      <c r="E51" s="30"/>
    </row>
    <row r="52" spans="1:5" x14ac:dyDescent="0.2">
      <c r="A52" s="59"/>
      <c r="B52" s="58">
        <v>1490</v>
      </c>
      <c r="C52" s="57">
        <v>31.721875000000001</v>
      </c>
      <c r="D52" s="47">
        <v>36.5</v>
      </c>
      <c r="E52" s="30"/>
    </row>
    <row r="53" spans="1:5" x14ac:dyDescent="0.2">
      <c r="A53" s="59"/>
      <c r="B53" s="58">
        <v>1500</v>
      </c>
      <c r="C53" s="57">
        <v>31.7734375</v>
      </c>
      <c r="D53" s="47">
        <v>36.5</v>
      </c>
      <c r="E53" s="30"/>
    </row>
    <row r="54" spans="1:5" x14ac:dyDescent="0.2">
      <c r="A54" s="59"/>
      <c r="B54" s="58">
        <v>1510</v>
      </c>
      <c r="C54" s="57">
        <v>31.824999999999999</v>
      </c>
      <c r="D54" s="47">
        <v>36.5</v>
      </c>
      <c r="E54" s="30"/>
    </row>
    <row r="55" spans="1:5" x14ac:dyDescent="0.2">
      <c r="A55" s="59"/>
      <c r="B55" s="58">
        <v>1520</v>
      </c>
      <c r="C55" s="57">
        <v>31.876562499999999</v>
      </c>
      <c r="D55" s="47">
        <v>36.5</v>
      </c>
      <c r="E55" s="30"/>
    </row>
    <row r="56" spans="1:5" x14ac:dyDescent="0.2">
      <c r="A56" s="59"/>
      <c r="B56" s="58">
        <v>1530</v>
      </c>
      <c r="C56" s="57">
        <v>31.928125000000001</v>
      </c>
      <c r="D56" s="47">
        <v>36.5</v>
      </c>
      <c r="E56" s="30"/>
    </row>
    <row r="57" spans="1:5" x14ac:dyDescent="0.2">
      <c r="A57" s="59"/>
      <c r="B57" s="58">
        <v>1540</v>
      </c>
      <c r="C57" s="57">
        <v>31.979687500000001</v>
      </c>
      <c r="D57" s="47">
        <v>36.5</v>
      </c>
      <c r="E57" s="30"/>
    </row>
    <row r="58" spans="1:5" x14ac:dyDescent="0.2">
      <c r="A58" s="59"/>
      <c r="B58" s="58">
        <v>1550</v>
      </c>
      <c r="C58" s="57">
        <v>32.03125</v>
      </c>
      <c r="D58" s="47">
        <v>36.5</v>
      </c>
      <c r="E58" s="30"/>
    </row>
    <row r="59" spans="1:5" x14ac:dyDescent="0.2">
      <c r="A59" s="59"/>
      <c r="B59" s="58">
        <v>1560</v>
      </c>
      <c r="C59" s="57">
        <v>32.082812500000003</v>
      </c>
      <c r="D59" s="47">
        <v>36.5</v>
      </c>
      <c r="E59" s="30"/>
    </row>
    <row r="60" spans="1:5" x14ac:dyDescent="0.2">
      <c r="A60" s="59"/>
      <c r="B60" s="58">
        <v>1570</v>
      </c>
      <c r="C60" s="57">
        <v>32.134374999999999</v>
      </c>
      <c r="D60" s="47">
        <v>36.5</v>
      </c>
      <c r="E60" s="30"/>
    </row>
    <row r="61" spans="1:5" x14ac:dyDescent="0.2">
      <c r="A61" s="59"/>
      <c r="B61" s="58">
        <v>1580</v>
      </c>
      <c r="C61" s="57">
        <v>32.185937500000001</v>
      </c>
      <c r="D61" s="47">
        <v>36.5</v>
      </c>
      <c r="E61" s="30"/>
    </row>
    <row r="62" spans="1:5" x14ac:dyDescent="0.2">
      <c r="A62" s="59"/>
      <c r="B62" s="58">
        <v>1590</v>
      </c>
      <c r="C62" s="57">
        <v>32.237499999999997</v>
      </c>
      <c r="D62" s="47">
        <v>36.5</v>
      </c>
      <c r="E62" s="30"/>
    </row>
    <row r="63" spans="1:5" x14ac:dyDescent="0.2">
      <c r="A63" s="59"/>
      <c r="B63" s="58">
        <v>1600</v>
      </c>
      <c r="C63" s="57">
        <v>32.2890625</v>
      </c>
      <c r="D63" s="47">
        <v>36.5</v>
      </c>
      <c r="E63" s="30"/>
    </row>
    <row r="64" spans="1:5" x14ac:dyDescent="0.2">
      <c r="A64" s="59"/>
      <c r="B64" s="58">
        <v>1610</v>
      </c>
      <c r="C64" s="57">
        <v>32.340625000000003</v>
      </c>
      <c r="D64" s="47">
        <v>36.5</v>
      </c>
      <c r="E64" s="30"/>
    </row>
    <row r="65" spans="1:5" x14ac:dyDescent="0.2">
      <c r="A65" s="59"/>
      <c r="B65" s="58">
        <v>1620</v>
      </c>
      <c r="C65" s="57">
        <v>32.392187499999999</v>
      </c>
      <c r="D65" s="47">
        <v>36.5</v>
      </c>
      <c r="E65" s="30"/>
    </row>
    <row r="66" spans="1:5" x14ac:dyDescent="0.2">
      <c r="A66" s="59"/>
      <c r="B66" s="58">
        <v>1630</v>
      </c>
      <c r="C66" s="57">
        <v>32.443750000000001</v>
      </c>
      <c r="D66" s="47">
        <v>36.5</v>
      </c>
      <c r="E66" s="30"/>
    </row>
    <row r="67" spans="1:5" x14ac:dyDescent="0.2">
      <c r="A67" s="59"/>
      <c r="B67" s="58">
        <v>1640</v>
      </c>
      <c r="C67" s="57">
        <v>32.495312499999997</v>
      </c>
      <c r="D67" s="47">
        <v>36.5</v>
      </c>
      <c r="E67" s="30"/>
    </row>
    <row r="68" spans="1:5" x14ac:dyDescent="0.2">
      <c r="A68" s="59"/>
      <c r="B68" s="58">
        <v>1650</v>
      </c>
      <c r="C68" s="57">
        <v>32.546875</v>
      </c>
      <c r="D68" s="47">
        <v>36.5</v>
      </c>
      <c r="E68" s="30"/>
    </row>
    <row r="69" spans="1:5" x14ac:dyDescent="0.2">
      <c r="A69" s="59"/>
      <c r="B69" s="58">
        <v>1660</v>
      </c>
      <c r="C69" s="57">
        <v>32.598437500000003</v>
      </c>
      <c r="D69" s="47">
        <v>36.5</v>
      </c>
      <c r="E69" s="30"/>
    </row>
    <row r="70" spans="1:5" ht="13.5" thickBot="1" x14ac:dyDescent="0.25">
      <c r="A70" s="141"/>
      <c r="B70" s="142">
        <v>1670</v>
      </c>
      <c r="C70" s="115">
        <v>32.65</v>
      </c>
      <c r="D70" s="116">
        <v>36.5</v>
      </c>
      <c r="E70" s="30"/>
    </row>
    <row r="71" spans="1:5" x14ac:dyDescent="0.2">
      <c r="A71" s="28"/>
      <c r="C71" s="30"/>
      <c r="D71" s="28"/>
    </row>
    <row r="72" spans="1:5" x14ac:dyDescent="0.2">
      <c r="A72" s="28"/>
      <c r="B72" s="29"/>
      <c r="C72" s="30"/>
      <c r="D72" s="28"/>
    </row>
    <row r="73" spans="1:5" x14ac:dyDescent="0.2">
      <c r="A73" s="28"/>
      <c r="B73" s="29"/>
      <c r="C73" s="30"/>
      <c r="D73" s="28"/>
    </row>
    <row r="74" spans="1:5" x14ac:dyDescent="0.2">
      <c r="A74" s="28"/>
      <c r="B74" s="29"/>
      <c r="C74" s="30"/>
      <c r="D74" s="28"/>
    </row>
    <row r="75" spans="1:5" x14ac:dyDescent="0.2">
      <c r="A75" s="28"/>
      <c r="B75" s="29"/>
      <c r="C75" s="30"/>
      <c r="D75" s="28"/>
    </row>
    <row r="76" spans="1:5" x14ac:dyDescent="0.2">
      <c r="A76" s="28"/>
      <c r="C76" s="30"/>
      <c r="D76" s="30"/>
    </row>
    <row r="77" spans="1:5" x14ac:dyDescent="0.2">
      <c r="A77" s="28"/>
      <c r="C77" s="30"/>
      <c r="D77" s="30"/>
    </row>
    <row r="78" spans="1:5" x14ac:dyDescent="0.2">
      <c r="A78" s="28"/>
      <c r="C78" s="30"/>
      <c r="D78" s="30"/>
    </row>
    <row r="79" spans="1:5" x14ac:dyDescent="0.2">
      <c r="A79" s="28"/>
      <c r="C79" s="30"/>
      <c r="D79" s="30"/>
    </row>
    <row r="80" spans="1:5" x14ac:dyDescent="0.2">
      <c r="A80" s="28"/>
      <c r="C80" s="30"/>
      <c r="D80" s="30"/>
    </row>
    <row r="81" spans="1:4" x14ac:dyDescent="0.2">
      <c r="A81" s="28"/>
      <c r="C81" s="30"/>
      <c r="D81" s="30"/>
    </row>
    <row r="82" spans="1:4" x14ac:dyDescent="0.2">
      <c r="A82" s="28"/>
      <c r="C82" s="30"/>
      <c r="D82" s="30"/>
    </row>
    <row r="83" spans="1:4" x14ac:dyDescent="0.2">
      <c r="A83" s="28"/>
      <c r="C83" s="30"/>
      <c r="D83" s="30"/>
    </row>
    <row r="84" spans="1:4" x14ac:dyDescent="0.2">
      <c r="A84" s="28"/>
      <c r="C84" s="30"/>
      <c r="D84" s="30"/>
    </row>
    <row r="85" spans="1:4" x14ac:dyDescent="0.2">
      <c r="A85" s="28"/>
      <c r="C85" s="30"/>
      <c r="D85" s="30"/>
    </row>
    <row r="86" spans="1:4" x14ac:dyDescent="0.2">
      <c r="A86" s="28"/>
      <c r="C86" s="30"/>
      <c r="D86" s="30"/>
    </row>
    <row r="87" spans="1:4" x14ac:dyDescent="0.2">
      <c r="A87" s="28"/>
      <c r="C87" s="30"/>
      <c r="D87" s="30"/>
    </row>
    <row r="88" spans="1:4" x14ac:dyDescent="0.2">
      <c r="A88" s="28"/>
      <c r="C88" s="30"/>
      <c r="D88" s="30"/>
    </row>
    <row r="89" spans="1:4" x14ac:dyDescent="0.2">
      <c r="D89" s="30"/>
    </row>
  </sheetData>
  <sheetProtection algorithmName="SHA-512" hashValue="KgQW2fhMDIa18nB8Pvzbl4WnoRLMbhmAA9Id3GNNz1An1vFlLU6vJt3FhQlNpE8M2lay2OdPNxcviIfg1p5LLA==" saltValue="8uYW5s1Fb1D9iQyLHSrmVg==" spinCount="100000" sheet="1" objects="1" scenarios="1" selectLockedCells="1" selectUnlockedCells="1"/>
  <mergeCells count="13">
    <mergeCell ref="F22:I22"/>
    <mergeCell ref="A1:B1"/>
    <mergeCell ref="C1:D1"/>
    <mergeCell ref="F11:I11"/>
    <mergeCell ref="G2:H2"/>
    <mergeCell ref="I2:J2"/>
    <mergeCell ref="F20:G20"/>
    <mergeCell ref="H20:I20"/>
    <mergeCell ref="F33:I33"/>
    <mergeCell ref="F42:G42"/>
    <mergeCell ref="H42:I42"/>
    <mergeCell ref="F31:G31"/>
    <mergeCell ref="H31:I31"/>
  </mergeCells>
  <phoneticPr fontId="2" type="noConversion"/>
  <printOptions horizontalCentered="1" verticalCentered="1"/>
  <pageMargins left="0.5" right="0.5" top="0.5" bottom="0.5" header="0.5" footer="0.5"/>
  <pageSetup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cols>
    <col min="1" max="1" width="5.7109375" customWidth="1"/>
    <col min="13" max="13" width="5.7109375" customWidth="1"/>
  </cols>
  <sheetData/>
  <sheetProtection password="83AF" sheet="1" objects="1" scenarios="1" selectLockedCells="1" selectUnlockedCells="1"/>
  <phoneticPr fontId="2" type="noConversion"/>
  <printOptions horizontalCentered="1" verticalCentered="1"/>
  <pageMargins left="1" right="1" top="1" bottom="1" header="0.5" footer="0.5"/>
  <pageSetup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9"/>
  <sheetViews>
    <sheetView workbookViewId="0"/>
  </sheetViews>
  <sheetFormatPr defaultRowHeight="12.75" x14ac:dyDescent="0.2"/>
  <cols>
    <col min="1" max="1" width="38.7109375" customWidth="1"/>
    <col min="2" max="5" width="10.7109375" customWidth="1"/>
  </cols>
  <sheetData>
    <row r="1" spans="1:5" ht="13.5" thickBot="1" x14ac:dyDescent="0.25">
      <c r="A1" s="2" t="s">
        <v>12</v>
      </c>
      <c r="B1" s="220" t="s">
        <v>13</v>
      </c>
      <c r="C1" s="221"/>
      <c r="D1" s="220" t="s">
        <v>14</v>
      </c>
      <c r="E1" s="221"/>
    </row>
    <row r="2" spans="1:5" ht="20.100000000000001" customHeight="1" x14ac:dyDescent="0.2">
      <c r="A2" s="3" t="s">
        <v>15</v>
      </c>
      <c r="B2" s="4"/>
      <c r="D2" s="5"/>
      <c r="E2" s="6"/>
    </row>
    <row r="3" spans="1:5" ht="20.100000000000001" customHeight="1" x14ac:dyDescent="0.2">
      <c r="A3" s="7" t="s">
        <v>16</v>
      </c>
      <c r="B3" s="5"/>
      <c r="C3" s="8"/>
      <c r="D3" s="9"/>
      <c r="E3" s="10"/>
    </row>
    <row r="4" spans="1:5" ht="20.100000000000001" customHeight="1" x14ac:dyDescent="0.2">
      <c r="A4" s="11" t="s">
        <v>17</v>
      </c>
      <c r="B4" s="12"/>
      <c r="C4" s="8"/>
      <c r="D4" s="9"/>
      <c r="E4" s="13"/>
    </row>
    <row r="5" spans="1:5" ht="20.100000000000001" customHeight="1" x14ac:dyDescent="0.2">
      <c r="A5" s="14" t="s">
        <v>18</v>
      </c>
      <c r="B5" s="9"/>
      <c r="C5" s="8"/>
      <c r="D5" s="9"/>
      <c r="E5" s="15"/>
    </row>
    <row r="6" spans="1:5" ht="20.100000000000001" customHeight="1" x14ac:dyDescent="0.2">
      <c r="A6" s="14" t="s">
        <v>19</v>
      </c>
      <c r="B6" s="9"/>
      <c r="C6" s="8"/>
      <c r="D6" s="9"/>
      <c r="E6" s="15"/>
    </row>
    <row r="7" spans="1:5" ht="20.100000000000001" customHeight="1" x14ac:dyDescent="0.2">
      <c r="A7" s="7" t="s">
        <v>20</v>
      </c>
      <c r="B7" s="5"/>
      <c r="C7" s="16"/>
      <c r="D7" s="4"/>
      <c r="E7" s="10"/>
    </row>
    <row r="8" spans="1:5" ht="20.100000000000001" customHeight="1" thickBot="1" x14ac:dyDescent="0.25">
      <c r="A8" s="17" t="s">
        <v>21</v>
      </c>
      <c r="B8" s="18"/>
      <c r="C8" s="19"/>
      <c r="D8" s="18"/>
      <c r="E8" s="20"/>
    </row>
    <row r="9" spans="1:5" ht="20.100000000000001" customHeight="1" x14ac:dyDescent="0.2">
      <c r="A9" s="7" t="s">
        <v>22</v>
      </c>
      <c r="B9" s="5"/>
      <c r="C9" s="16"/>
      <c r="D9" s="4"/>
      <c r="E9" s="10"/>
    </row>
    <row r="10" spans="1:5" ht="20.100000000000001" customHeight="1" x14ac:dyDescent="0.2">
      <c r="A10" s="14" t="s">
        <v>23</v>
      </c>
      <c r="B10" s="9"/>
      <c r="C10" s="8"/>
      <c r="D10" s="9"/>
      <c r="E10" s="15"/>
    </row>
    <row r="11" spans="1:5" ht="20.100000000000001" customHeight="1" x14ac:dyDescent="0.2">
      <c r="A11" s="21" t="s">
        <v>24</v>
      </c>
      <c r="B11" s="8"/>
      <c r="C11" s="8"/>
      <c r="D11" s="9"/>
      <c r="E11" s="15"/>
    </row>
    <row r="12" spans="1:5" ht="20.100000000000001" customHeight="1" thickBot="1" x14ac:dyDescent="0.25">
      <c r="A12" s="7" t="s">
        <v>25</v>
      </c>
      <c r="D12" s="5"/>
      <c r="E12" s="10"/>
    </row>
    <row r="13" spans="1:5" ht="13.5" thickBot="1" x14ac:dyDescent="0.25">
      <c r="A13" s="25" t="s">
        <v>26</v>
      </c>
      <c r="B13" s="26"/>
      <c r="C13" s="26"/>
      <c r="D13" s="26"/>
      <c r="E13" s="27"/>
    </row>
    <row r="14" spans="1:5" x14ac:dyDescent="0.2">
      <c r="A14" s="5"/>
      <c r="E14" s="10"/>
    </row>
    <row r="15" spans="1:5" x14ac:dyDescent="0.2">
      <c r="A15" s="5"/>
      <c r="E15" s="10"/>
    </row>
    <row r="16" spans="1:5" x14ac:dyDescent="0.2">
      <c r="A16" s="5"/>
      <c r="E16" s="10"/>
    </row>
    <row r="17" spans="1:5" x14ac:dyDescent="0.2">
      <c r="A17" s="5"/>
      <c r="E17" s="10"/>
    </row>
    <row r="18" spans="1:5" x14ac:dyDescent="0.2">
      <c r="A18" s="5"/>
      <c r="E18" s="10"/>
    </row>
    <row r="19" spans="1:5" ht="13.5" thickBot="1" x14ac:dyDescent="0.25">
      <c r="A19" s="22"/>
      <c r="B19" s="23"/>
      <c r="C19" s="23"/>
      <c r="D19" s="23"/>
      <c r="E19" s="24"/>
    </row>
    <row r="20" spans="1:5" ht="13.5" thickBot="1" x14ac:dyDescent="0.25"/>
    <row r="21" spans="1:5" ht="13.5" thickBot="1" x14ac:dyDescent="0.25">
      <c r="A21" s="2" t="s">
        <v>12</v>
      </c>
      <c r="B21" s="220" t="s">
        <v>13</v>
      </c>
      <c r="C21" s="221"/>
      <c r="D21" s="220" t="s">
        <v>14</v>
      </c>
      <c r="E21" s="221"/>
    </row>
    <row r="22" spans="1:5" ht="20.100000000000001" customHeight="1" x14ac:dyDescent="0.2">
      <c r="A22" s="3" t="s">
        <v>15</v>
      </c>
      <c r="B22" s="4"/>
      <c r="D22" s="5"/>
      <c r="E22" s="6"/>
    </row>
    <row r="23" spans="1:5" ht="20.100000000000001" customHeight="1" x14ac:dyDescent="0.2">
      <c r="A23" s="7" t="s">
        <v>16</v>
      </c>
      <c r="B23" s="5"/>
      <c r="C23" s="8"/>
      <c r="D23" s="9"/>
      <c r="E23" s="10"/>
    </row>
    <row r="24" spans="1:5" ht="20.100000000000001" customHeight="1" x14ac:dyDescent="0.2">
      <c r="A24" s="11" t="s">
        <v>17</v>
      </c>
      <c r="B24" s="12"/>
      <c r="C24" s="8"/>
      <c r="D24" s="9"/>
      <c r="E24" s="13"/>
    </row>
    <row r="25" spans="1:5" ht="20.100000000000001" customHeight="1" x14ac:dyDescent="0.2">
      <c r="A25" s="14" t="s">
        <v>18</v>
      </c>
      <c r="B25" s="9"/>
      <c r="C25" s="8"/>
      <c r="D25" s="9"/>
      <c r="E25" s="15"/>
    </row>
    <row r="26" spans="1:5" ht="20.100000000000001" customHeight="1" x14ac:dyDescent="0.2">
      <c r="A26" s="14" t="s">
        <v>19</v>
      </c>
      <c r="B26" s="9"/>
      <c r="C26" s="8"/>
      <c r="D26" s="9"/>
      <c r="E26" s="15"/>
    </row>
    <row r="27" spans="1:5" ht="20.100000000000001" customHeight="1" x14ac:dyDescent="0.2">
      <c r="A27" s="7" t="s">
        <v>20</v>
      </c>
      <c r="B27" s="5"/>
      <c r="C27" s="16"/>
      <c r="D27" s="4"/>
      <c r="E27" s="10"/>
    </row>
    <row r="28" spans="1:5" ht="20.100000000000001" customHeight="1" thickBot="1" x14ac:dyDescent="0.25">
      <c r="A28" s="17" t="s">
        <v>21</v>
      </c>
      <c r="B28" s="18"/>
      <c r="C28" s="19"/>
      <c r="D28" s="18"/>
      <c r="E28" s="20"/>
    </row>
    <row r="29" spans="1:5" ht="20.100000000000001" customHeight="1" x14ac:dyDescent="0.2">
      <c r="A29" s="7" t="s">
        <v>22</v>
      </c>
      <c r="B29" s="5"/>
      <c r="C29" s="16"/>
      <c r="D29" s="4"/>
      <c r="E29" s="10"/>
    </row>
    <row r="30" spans="1:5" ht="20.100000000000001" customHeight="1" x14ac:dyDescent="0.2">
      <c r="A30" s="14" t="s">
        <v>23</v>
      </c>
      <c r="B30" s="9"/>
      <c r="C30" s="8"/>
      <c r="D30" s="9"/>
      <c r="E30" s="15"/>
    </row>
    <row r="31" spans="1:5" ht="20.100000000000001" customHeight="1" x14ac:dyDescent="0.2">
      <c r="A31" s="21" t="s">
        <v>24</v>
      </c>
      <c r="B31" s="8"/>
      <c r="C31" s="8"/>
      <c r="D31" s="9"/>
      <c r="E31" s="15"/>
    </row>
    <row r="32" spans="1:5" ht="20.100000000000001" customHeight="1" thickBot="1" x14ac:dyDescent="0.25">
      <c r="A32" s="7" t="s">
        <v>25</v>
      </c>
      <c r="D32" s="5"/>
      <c r="E32" s="10"/>
    </row>
    <row r="33" spans="1:5" ht="13.5" thickBot="1" x14ac:dyDescent="0.25">
      <c r="A33" s="25" t="s">
        <v>26</v>
      </c>
      <c r="B33" s="26"/>
      <c r="C33" s="26"/>
      <c r="D33" s="26"/>
      <c r="E33" s="27"/>
    </row>
    <row r="34" spans="1:5" x14ac:dyDescent="0.2">
      <c r="A34" s="5"/>
      <c r="E34" s="10"/>
    </row>
    <row r="35" spans="1:5" x14ac:dyDescent="0.2">
      <c r="A35" s="5"/>
      <c r="E35" s="10"/>
    </row>
    <row r="36" spans="1:5" x14ac:dyDescent="0.2">
      <c r="A36" s="5"/>
      <c r="E36" s="10"/>
    </row>
    <row r="37" spans="1:5" x14ac:dyDescent="0.2">
      <c r="A37" s="5"/>
      <c r="E37" s="10"/>
    </row>
    <row r="38" spans="1:5" x14ac:dyDescent="0.2">
      <c r="A38" s="5"/>
      <c r="E38" s="10"/>
    </row>
    <row r="39" spans="1:5" ht="13.5" thickBot="1" x14ac:dyDescent="0.25">
      <c r="A39" s="22"/>
      <c r="B39" s="23"/>
      <c r="C39" s="23"/>
      <c r="D39" s="23"/>
      <c r="E39" s="24"/>
    </row>
  </sheetData>
  <sheetProtection password="EF2C" sheet="1" objects="1" scenarios="1"/>
  <mergeCells count="4">
    <mergeCell ref="B1:C1"/>
    <mergeCell ref="D1:E1"/>
    <mergeCell ref="B21:C21"/>
    <mergeCell ref="D21:E21"/>
  </mergeCells>
  <phoneticPr fontId="2" type="noConversion"/>
  <printOptions horizontalCentered="1" verticalCentered="1"/>
  <pageMargins left="0.75" right="0.75" top="0.5" bottom="0.5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9"/>
  <sheetViews>
    <sheetView workbookViewId="0"/>
  </sheetViews>
  <sheetFormatPr defaultRowHeight="12.75" x14ac:dyDescent="0.2"/>
  <cols>
    <col min="1" max="1" width="19.28515625" bestFit="1" customWidth="1"/>
    <col min="2" max="4" width="15.7109375" customWidth="1"/>
  </cols>
  <sheetData>
    <row r="1" spans="1:4" x14ac:dyDescent="0.2">
      <c r="A1" s="68"/>
      <c r="B1" s="69" t="s">
        <v>69</v>
      </c>
      <c r="C1" s="69" t="s">
        <v>28</v>
      </c>
      <c r="D1" s="69" t="s">
        <v>36</v>
      </c>
    </row>
    <row r="3" spans="1:4" x14ac:dyDescent="0.2">
      <c r="A3" s="71" t="s">
        <v>64</v>
      </c>
      <c r="B3" s="72">
        <v>1695</v>
      </c>
      <c r="C3" s="72">
        <v>87.820800000000006</v>
      </c>
      <c r="D3" s="72">
        <v>148856.20000000001</v>
      </c>
    </row>
    <row r="4" spans="1:4" x14ac:dyDescent="0.2">
      <c r="A4" s="74" t="s">
        <v>65</v>
      </c>
      <c r="B4" s="8">
        <v>51.2</v>
      </c>
      <c r="C4" s="8">
        <v>95.869100000000003</v>
      </c>
      <c r="D4" s="8">
        <v>4908.5</v>
      </c>
    </row>
    <row r="5" spans="1:4" x14ac:dyDescent="0.2">
      <c r="A5" s="73" t="s">
        <v>6</v>
      </c>
      <c r="B5" s="16">
        <v>1746.2</v>
      </c>
      <c r="C5" s="16">
        <v>88.056799999999996</v>
      </c>
      <c r="D5" s="16">
        <v>153764.70000000001</v>
      </c>
    </row>
    <row r="7" spans="1:4" x14ac:dyDescent="0.2">
      <c r="A7" s="70" t="s">
        <v>66</v>
      </c>
      <c r="B7" s="68"/>
      <c r="C7" s="68"/>
      <c r="D7" s="68"/>
    </row>
    <row r="8" spans="1:4" x14ac:dyDescent="0.2">
      <c r="A8" s="75" t="s">
        <v>67</v>
      </c>
      <c r="B8">
        <v>811.8</v>
      </c>
    </row>
    <row r="9" spans="1:4" x14ac:dyDescent="0.2">
      <c r="A9" s="75" t="s">
        <v>68</v>
      </c>
      <c r="B9">
        <v>391.8</v>
      </c>
    </row>
  </sheetData>
  <sheetProtection password="83AF" sheet="1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N757AD</vt:lpstr>
      <vt:lpstr>N798LA</vt:lpstr>
      <vt:lpstr>N65199</vt:lpstr>
      <vt:lpstr>ENVELOPE</vt:lpstr>
      <vt:lpstr>CG Graph (Large)</vt:lpstr>
      <vt:lpstr>ATIS WORKSHEET</vt:lpstr>
      <vt:lpstr>W&amp;B Information</vt:lpstr>
    </vt:vector>
  </TitlesOfParts>
  <Company>System Administrator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Administrator</dc:creator>
  <cp:lastModifiedBy>Windows User</cp:lastModifiedBy>
  <cp:lastPrinted>2014-01-19T00:10:14Z</cp:lastPrinted>
  <dcterms:created xsi:type="dcterms:W3CDTF">2006-08-17T01:10:21Z</dcterms:created>
  <dcterms:modified xsi:type="dcterms:W3CDTF">2019-02-18T18:09:09Z</dcterms:modified>
</cp:coreProperties>
</file>